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4" r:id="rId30"/>
    <sheet name="SF&amp;QC Sec-1" sheetId="174" r:id="rId31"/>
    <sheet name="SF&amp;QC Sec-2" sheetId="175" r:id="rId32"/>
    <sheet name="SF&amp;QC Sec-3" sheetId="176" r:id="rId33"/>
    <sheet name="SSPAF" sheetId="177" r:id="rId34"/>
  </sheets>
  <definedNames>
    <definedName name="_xlnm.Print_Area" localSheetId="28">' SEFA'!$B$1:$M$46</definedName>
    <definedName name="_xlnm.Print_Area" localSheetId="29">' SEFA (2)'!$B$1:$M$46</definedName>
    <definedName name="_xlnm.Print_Area" localSheetId="27">'SEFA NOTES'!$A$1:$F$52</definedName>
    <definedName name="_xlnm.Print_Area" localSheetId="26">'SEFA Reconcile'!$A$1:$E$49</definedName>
    <definedName name="_xlnm.Print_Area" localSheetId="30">'SF&amp;QC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22" i="184" l="1"/>
  <c r="I23" i="184" s="1"/>
  <c r="G22" i="184"/>
  <c r="L22" i="184" s="1"/>
  <c r="F22" i="184"/>
  <c r="F23" i="184" s="1"/>
  <c r="E22" i="184"/>
  <c r="E23" i="184" s="1"/>
  <c r="I16" i="184"/>
  <c r="I24" i="184" s="1"/>
  <c r="G16" i="184"/>
  <c r="F16" i="184"/>
  <c r="F24" i="184" s="1"/>
  <c r="E16" i="184"/>
  <c r="E24" i="184" s="1"/>
  <c r="L27" i="184"/>
  <c r="L26" i="184"/>
  <c r="L21" i="184"/>
  <c r="L20" i="184"/>
  <c r="L19" i="184"/>
  <c r="L18" i="184"/>
  <c r="L17" i="184"/>
  <c r="L15" i="184"/>
  <c r="L14" i="184"/>
  <c r="L13" i="184"/>
  <c r="L12" i="184"/>
  <c r="L11" i="184"/>
  <c r="B4" i="184"/>
  <c r="K26" i="179"/>
  <c r="I26" i="179"/>
  <c r="G26" i="179"/>
  <c r="F26" i="179"/>
  <c r="E26" i="179"/>
  <c r="I20" i="179"/>
  <c r="G20" i="179"/>
  <c r="F20" i="179"/>
  <c r="F25" i="184" s="1"/>
  <c r="E20" i="179"/>
  <c r="E25" i="184" s="1"/>
  <c r="I25" i="184" l="1"/>
  <c r="G23" i="184"/>
  <c r="L23" i="184" s="1"/>
  <c r="L16" i="184"/>
  <c r="D182" i="34"/>
  <c r="G24" i="184" l="1"/>
  <c r="J24" i="24"/>
  <c r="G25" i="184" l="1"/>
  <c r="L25" i="184" s="1"/>
  <c r="L24" i="184"/>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2" i="170" s="1"/>
  <c r="A7" i="169"/>
  <c r="B1" i="184"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4"/>
  <c r="B2" i="174"/>
  <c r="A2" i="173"/>
  <c r="B2" i="177"/>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D7769" i="106" s="1"/>
  <c r="B7768" i="106"/>
  <c r="B7766" i="106"/>
  <c r="D7766" i="106" s="1"/>
  <c r="B7765" i="106"/>
  <c r="B7764" i="106"/>
  <c r="D7764" i="106" s="1"/>
  <c r="J85" i="28"/>
  <c r="B7758" i="106" s="1"/>
  <c r="D7758" i="106" s="1"/>
  <c r="J88" i="28"/>
  <c r="K6" i="29"/>
  <c r="B7763" i="106" s="1"/>
  <c r="B7762" i="106"/>
  <c r="D7762" i="106" s="1"/>
  <c r="K12" i="12"/>
  <c r="K23" i="12"/>
  <c r="J12" i="12"/>
  <c r="J21" i="12"/>
  <c r="J23" i="12" s="1"/>
  <c r="B7729" i="106"/>
  <c r="B7734" i="106"/>
  <c r="D7734" i="106" s="1"/>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82" i="36"/>
  <c r="D78" i="36"/>
  <c r="K75" i="29"/>
  <c r="K130" i="29"/>
  <c r="B2805" i="106" s="1"/>
  <c r="D2805" i="106" s="1"/>
  <c r="K185" i="29"/>
  <c r="K122" i="29"/>
  <c r="F15" i="145" s="1"/>
  <c r="F19" i="145" s="1"/>
  <c r="K67" i="29"/>
  <c r="K64" i="29"/>
  <c r="D31" i="108" s="1"/>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K82" i="29"/>
  <c r="K83" i="29"/>
  <c r="B2978" i="106" s="1"/>
  <c r="D2978" i="106" s="1"/>
  <c r="K93" i="29"/>
  <c r="B6997" i="106" s="1"/>
  <c r="D6997" i="106" s="1"/>
  <c r="K94" i="29"/>
  <c r="K95" i="29"/>
  <c r="B7001" i="106" s="1"/>
  <c r="D7001" i="106" s="1"/>
  <c r="K96" i="29"/>
  <c r="K97" i="29"/>
  <c r="B7005" i="106" s="1"/>
  <c r="D7005" i="106" s="1"/>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B2726" i="106" s="1"/>
  <c r="D2726" i="106" s="1"/>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c r="J10" i="37"/>
  <c r="B4268" i="106"/>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s="1"/>
  <c r="B5101" i="106"/>
  <c r="D5101" i="106" s="1"/>
  <c r="B5103" i="106"/>
  <c r="D5103" i="106" s="1"/>
  <c r="B5104" i="106"/>
  <c r="D5104" i="106" s="1"/>
  <c r="B5105" i="106"/>
  <c r="D5105" i="106" s="1"/>
  <c r="B5106" i="106"/>
  <c r="D5106" i="106" s="1"/>
  <c r="B5107" i="106"/>
  <c r="D5107" i="106"/>
  <c r="B5108" i="106"/>
  <c r="D5108" i="106"/>
  <c r="B5109" i="106"/>
  <c r="D5109" i="106"/>
  <c r="B5110" i="106"/>
  <c r="D5110" i="106"/>
  <c r="B5111" i="106"/>
  <c r="D5111" i="106" s="1"/>
  <c r="B5113" i="106"/>
  <c r="D5113" i="106" s="1"/>
  <c r="B5114" i="106"/>
  <c r="D5114" i="106" s="1"/>
  <c r="B5115" i="106"/>
  <c r="D5115" i="106" s="1"/>
  <c r="B5116" i="106"/>
  <c r="D5116" i="106" s="1"/>
  <c r="B5117" i="106"/>
  <c r="D5117" i="106" s="1"/>
  <c r="B5118" i="106"/>
  <c r="D5118" i="106" s="1"/>
  <c r="B5119" i="106"/>
  <c r="D5119" i="106" s="1"/>
  <c r="B5122" i="106"/>
  <c r="D5122" i="106"/>
  <c r="B5123" i="106"/>
  <c r="D5123" i="106" s="1"/>
  <c r="B5124" i="106"/>
  <c r="D5124" i="106" s="1"/>
  <c r="B5126" i="106"/>
  <c r="D5126" i="106" s="1"/>
  <c r="B5127" i="106"/>
  <c r="D5127" i="106"/>
  <c r="D5128" i="106"/>
  <c r="D5129" i="106"/>
  <c r="D5130" i="106"/>
  <c r="D5131" i="106"/>
  <c r="B5133" i="106"/>
  <c r="D5133" i="106"/>
  <c r="B5134" i="106"/>
  <c r="D5134" i="106"/>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c r="B6730" i="106"/>
  <c r="D6730" i="106" s="1"/>
  <c r="B6731" i="106"/>
  <c r="D6731" i="106" s="1"/>
  <c r="B6732" i="106"/>
  <c r="D6732" i="106" s="1"/>
  <c r="B6733" i="106"/>
  <c r="D6733" i="106" s="1"/>
  <c r="B6734" i="106"/>
  <c r="D6734" i="106" s="1"/>
  <c r="B6735" i="106"/>
  <c r="D6735" i="106"/>
  <c r="B6736" i="106"/>
  <c r="D6736" i="106" s="1"/>
  <c r="B6737" i="106"/>
  <c r="D6737" i="106" s="1"/>
  <c r="B6738" i="106"/>
  <c r="D6738" i="106" s="1"/>
  <c r="B6739" i="106"/>
  <c r="D6739" i="106" s="1"/>
  <c r="B6740" i="106"/>
  <c r="D6740" i="106" s="1"/>
  <c r="B6741" i="106"/>
  <c r="D6741" i="106"/>
  <c r="B6742" i="106"/>
  <c r="D6742" i="106" s="1"/>
  <c r="B6743" i="106"/>
  <c r="D6743" i="106" s="1"/>
  <c r="B6744" i="106"/>
  <c r="D6744" i="106" s="1"/>
  <c r="B6745" i="106"/>
  <c r="D6745" i="106"/>
  <c r="B6746" i="106"/>
  <c r="D6746" i="106" s="1"/>
  <c r="B6747" i="106"/>
  <c r="D6747" i="106" s="1"/>
  <c r="B6748" i="106"/>
  <c r="D6748" i="106" s="1"/>
  <c r="B6749" i="106"/>
  <c r="D6749" i="106" s="1"/>
  <c r="B6750" i="106"/>
  <c r="D6750" i="106" s="1"/>
  <c r="B6751" i="106"/>
  <c r="D6751" i="106"/>
  <c r="B6752" i="106"/>
  <c r="D6752" i="106" s="1"/>
  <c r="B6753" i="106"/>
  <c r="D6753" i="106" s="1"/>
  <c r="B6754" i="106"/>
  <c r="D6754" i="106" s="1"/>
  <c r="B6755" i="106"/>
  <c r="D6755" i="106" s="1"/>
  <c r="B6756" i="106"/>
  <c r="D6756" i="106" s="1"/>
  <c r="B6757" i="106"/>
  <c r="D6757" i="106"/>
  <c r="B6758" i="106"/>
  <c r="D6758" i="106" s="1"/>
  <c r="B6759" i="106"/>
  <c r="D6759" i="106" s="1"/>
  <c r="B6760" i="106"/>
  <c r="D6760" i="106" s="1"/>
  <c r="B6761" i="106"/>
  <c r="D6761" i="106"/>
  <c r="B6762" i="106"/>
  <c r="D6762" i="106" s="1"/>
  <c r="B6763" i="106"/>
  <c r="D6763" i="106" s="1"/>
  <c r="B6764" i="106"/>
  <c r="D6764" i="106" s="1"/>
  <c r="B6765" i="106"/>
  <c r="D6765" i="106" s="1"/>
  <c r="B6766" i="106"/>
  <c r="D6766" i="106" s="1"/>
  <c r="B6767" i="106"/>
  <c r="D6767" i="106"/>
  <c r="B6768" i="106"/>
  <c r="D6768" i="106" s="1"/>
  <c r="B6769" i="106"/>
  <c r="D6769" i="106" s="1"/>
  <c r="B6770" i="106"/>
  <c r="D6770" i="106" s="1"/>
  <c r="B6771" i="106"/>
  <c r="D6771" i="106" s="1"/>
  <c r="B6772" i="106"/>
  <c r="D6772" i="106" s="1"/>
  <c r="B6773" i="106"/>
  <c r="D6773" i="106"/>
  <c r="B6774" i="106"/>
  <c r="D6774" i="106" s="1"/>
  <c r="B6775" i="106"/>
  <c r="D6775" i="106" s="1"/>
  <c r="B6776" i="106"/>
  <c r="D6776" i="106" s="1"/>
  <c r="B6777" i="106"/>
  <c r="D6777" i="106"/>
  <c r="B6778" i="106"/>
  <c r="D6778" i="106" s="1"/>
  <c r="B6779" i="106"/>
  <c r="D6779" i="106" s="1"/>
  <c r="B6780" i="106"/>
  <c r="D6780" i="106" s="1"/>
  <c r="B6781" i="106"/>
  <c r="D6781" i="106" s="1"/>
  <c r="B6782" i="106"/>
  <c r="D6782" i="106" s="1"/>
  <c r="B6783" i="106"/>
  <c r="D6783" i="106"/>
  <c r="B6784" i="106"/>
  <c r="D6784" i="106" s="1"/>
  <c r="B6785" i="106"/>
  <c r="D6785" i="106" s="1"/>
  <c r="B6786" i="106"/>
  <c r="D6786" i="106" s="1"/>
  <c r="B6787" i="106"/>
  <c r="D6787" i="106" s="1"/>
  <c r="B6788" i="106"/>
  <c r="D6788" i="106" s="1"/>
  <c r="B6789" i="106"/>
  <c r="D6789" i="106"/>
  <c r="B6790" i="106"/>
  <c r="D6790" i="106" s="1"/>
  <c r="B6791" i="106"/>
  <c r="D6791" i="106" s="1"/>
  <c r="B6792" i="106"/>
  <c r="D6792" i="106" s="1"/>
  <c r="B6793" i="106"/>
  <c r="D6793" i="106"/>
  <c r="B6794" i="106"/>
  <c r="D6794" i="106" s="1"/>
  <c r="B6795" i="106"/>
  <c r="D6795" i="106" s="1"/>
  <c r="B6796" i="106"/>
  <c r="D6796" i="106" s="1"/>
  <c r="B6797" i="106"/>
  <c r="D6797" i="106" s="1"/>
  <c r="B6798" i="106"/>
  <c r="D6798" i="106" s="1"/>
  <c r="B6799" i="106"/>
  <c r="D6799" i="106"/>
  <c r="B6800" i="106"/>
  <c r="D6800" i="106" s="1"/>
  <c r="B6801" i="106"/>
  <c r="D6801" i="106" s="1"/>
  <c r="B6802" i="106"/>
  <c r="D6802" i="106" s="1"/>
  <c r="B6803" i="106"/>
  <c r="D6803" i="106" s="1"/>
  <c r="B6804" i="106"/>
  <c r="D6804" i="106" s="1"/>
  <c r="B6805" i="106"/>
  <c r="D6805" i="106"/>
  <c r="B6806" i="106"/>
  <c r="D6806" i="106" s="1"/>
  <c r="B6807" i="106"/>
  <c r="D6807" i="106" s="1"/>
  <c r="B6808" i="106"/>
  <c r="D6808" i="106" s="1"/>
  <c r="B6809" i="106"/>
  <c r="D6809" i="106"/>
  <c r="B6810" i="106"/>
  <c r="D6810" i="106" s="1"/>
  <c r="B6811" i="106"/>
  <c r="D6811" i="106" s="1"/>
  <c r="B6812" i="106"/>
  <c r="D6812" i="106" s="1"/>
  <c r="B6813" i="106"/>
  <c r="D6813" i="106" s="1"/>
  <c r="B6814" i="106"/>
  <c r="D6814" i="106" s="1"/>
  <c r="B6815" i="106"/>
  <c r="D6815" i="106"/>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2" i="106"/>
  <c r="D7002" i="106" s="1"/>
  <c r="B7003" i="106"/>
  <c r="D7003" i="106" s="1"/>
  <c r="B7004" i="106"/>
  <c r="D7004" i="106" s="1"/>
  <c r="B7006" i="106"/>
  <c r="D7006" i="106" s="1"/>
  <c r="B7007" i="106"/>
  <c r="D7007" i="106" s="1"/>
  <c r="B7008" i="106"/>
  <c r="D7008" i="106" s="1"/>
  <c r="B7009" i="106"/>
  <c r="D7009" i="106" s="1"/>
  <c r="B7010" i="106"/>
  <c r="D7010"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45" i="106" s="1"/>
  <c r="B7235" i="106"/>
  <c r="D723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3"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71" i="36"/>
  <c r="D72" i="36"/>
  <c r="D79" i="36"/>
  <c r="B62" i="127"/>
  <c r="B63" i="127"/>
  <c r="D26" i="108"/>
  <c r="F26" i="108"/>
  <c r="E27" i="108"/>
  <c r="G27" i="108"/>
  <c r="F31" i="108"/>
  <c r="F37" i="108"/>
  <c r="G28" i="108"/>
  <c r="E30" i="108"/>
  <c r="G30" i="108"/>
  <c r="D37" i="108"/>
  <c r="E31" i="108"/>
  <c r="G31" i="108"/>
  <c r="E33" i="108"/>
  <c r="G33" i="108"/>
  <c r="E34" i="108"/>
  <c r="G34"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C43" i="34"/>
  <c r="D43" i="34"/>
  <c r="C44" i="34"/>
  <c r="D44" i="34"/>
  <c r="F44" i="34"/>
  <c r="C45" i="34"/>
  <c r="D45" i="34"/>
  <c r="C46" i="34"/>
  <c r="D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42" i="29" s="1"/>
  <c r="L350" i="29"/>
  <c r="L352" i="29" s="1"/>
  <c r="L362" i="29"/>
  <c r="L365" i="29" s="1"/>
  <c r="C12" i="5"/>
  <c r="B5066" i="106"/>
  <c r="D5066" i="106" s="1"/>
  <c r="D12" i="5"/>
  <c r="B5334" i="106"/>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c r="D5730" i="106" s="1"/>
  <c r="H18" i="5"/>
  <c r="B5878" i="106"/>
  <c r="D5878" i="106" s="1"/>
  <c r="I18" i="5"/>
  <c r="B5923" i="106"/>
  <c r="D5923" i="106" s="1"/>
  <c r="J18" i="5"/>
  <c r="B6306" i="106"/>
  <c r="D6306" i="106" s="1"/>
  <c r="K18" i="5"/>
  <c r="B5992" i="106"/>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c r="D5348" i="106" s="1"/>
  <c r="C93" i="5"/>
  <c r="B5112" i="106" s="1"/>
  <c r="D5112" i="106" s="1"/>
  <c r="C108" i="5"/>
  <c r="B5120" i="106" s="1"/>
  <c r="D5120" i="106" s="1"/>
  <c r="D108" i="5"/>
  <c r="B5355" i="106"/>
  <c r="D5355" i="106" s="1"/>
  <c r="E108" i="5"/>
  <c r="B5526" i="106"/>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G109" i="5"/>
  <c r="B6024" i="106" s="1"/>
  <c r="D6024"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D140" i="5"/>
  <c r="B5383" i="106" s="1"/>
  <c r="D5383" i="106" s="1"/>
  <c r="G140" i="5"/>
  <c r="B5752" i="106" s="1"/>
  <c r="D5752" i="106" s="1"/>
  <c r="G144" i="5"/>
  <c r="B5756" i="106" s="1"/>
  <c r="D5756" i="106" s="1"/>
  <c r="G154" i="5"/>
  <c r="B4357" i="106" s="1"/>
  <c r="D4357" i="106" s="1"/>
  <c r="C144" i="5"/>
  <c r="B5165" i="106"/>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F136" i="34"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I274" i="5"/>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H33" i="118"/>
  <c r="D11" i="37"/>
  <c r="L22" i="37"/>
  <c r="L5" i="11"/>
  <c r="B2056" i="106" s="1"/>
  <c r="D2056" i="106" s="1"/>
  <c r="D13" i="7"/>
  <c r="B3726" i="106" s="1"/>
  <c r="D3726" i="106" s="1"/>
  <c r="D9" i="7"/>
  <c r="B1767" i="106" s="1"/>
  <c r="D1767" i="106" s="1"/>
  <c r="F130" i="34"/>
  <c r="H173" i="5"/>
  <c r="B5906" i="106" s="1"/>
  <c r="D5906" i="106" s="1"/>
  <c r="D109" i="5"/>
  <c r="B5356" i="106" s="1"/>
  <c r="D5356" i="106" s="1"/>
  <c r="H6" i="4"/>
  <c r="B2656" i="106" s="1"/>
  <c r="D2656" i="106" s="1"/>
  <c r="D12" i="7"/>
  <c r="B1769" i="106" s="1"/>
  <c r="D1769" i="106" s="1"/>
  <c r="D15" i="7"/>
  <c r="B1772" i="106" s="1"/>
  <c r="D1772" i="106" s="1"/>
  <c r="K274" i="5" l="1"/>
  <c r="C129" i="29"/>
  <c r="B1225" i="106" s="1"/>
  <c r="D1225" i="106" s="1"/>
  <c r="D11" i="7"/>
  <c r="B1768" i="106" s="1"/>
  <c r="D1768" i="106" s="1"/>
  <c r="D7" i="7"/>
  <c r="B1763" i="106" s="1"/>
  <c r="D1763" i="106" s="1"/>
  <c r="B5847" i="106"/>
  <c r="D5847" i="106" s="1"/>
  <c r="J22" i="37"/>
  <c r="K28" i="118"/>
  <c r="O27" i="118" s="1"/>
  <c r="O29" i="118" s="1"/>
  <c r="F70" i="34"/>
  <c r="F42" i="34"/>
  <c r="F34" i="34"/>
  <c r="E26" i="108"/>
  <c r="D7245" i="106"/>
  <c r="B6995" i="106"/>
  <c r="D6995" i="106" s="1"/>
  <c r="J41" i="3"/>
  <c r="D51" i="36" s="1"/>
  <c r="K350" i="29"/>
  <c r="B3670" i="106" s="1"/>
  <c r="D3670" i="106" s="1"/>
  <c r="F21" i="8"/>
  <c r="E174" i="29"/>
  <c r="B1309" i="106" s="1"/>
  <c r="D1309" i="106" s="1"/>
  <c r="B1746" i="106"/>
  <c r="D1746" i="106" s="1"/>
  <c r="D24" i="37"/>
  <c r="B4270" i="106" s="1"/>
  <c r="D4270" i="106" s="1"/>
  <c r="D5" i="4"/>
  <c r="B3406" i="106" s="1"/>
  <c r="D3406" i="106" s="1"/>
  <c r="F128" i="34"/>
  <c r="F127" i="34"/>
  <c r="F106" i="34"/>
  <c r="E109" i="5"/>
  <c r="E4" i="4" s="1"/>
  <c r="B2630" i="106" s="1"/>
  <c r="D2630" i="106" s="1"/>
  <c r="F19" i="7"/>
  <c r="B1807" i="106" s="1"/>
  <c r="D1807" i="106" s="1"/>
  <c r="G39" i="108"/>
  <c r="E35" i="108"/>
  <c r="G26" i="108"/>
  <c r="D6103" i="106"/>
  <c r="D54" i="36"/>
  <c r="E29" i="108"/>
  <c r="K184" i="29"/>
  <c r="F13" i="4" s="1"/>
  <c r="B2596" i="106" s="1"/>
  <c r="D2596" i="106" s="1"/>
  <c r="G29" i="108"/>
  <c r="B5161" i="106"/>
  <c r="D5161" i="106" s="1"/>
  <c r="D36" i="108"/>
  <c r="F36" i="108"/>
  <c r="D27" i="108"/>
  <c r="F28" i="108"/>
  <c r="E28" i="108"/>
  <c r="F111" i="34"/>
  <c r="C109" i="5"/>
  <c r="B5121" i="106" s="1"/>
  <c r="D5121" i="106" s="1"/>
  <c r="G4" i="4"/>
  <c r="B2603" i="106" s="1"/>
  <c r="D2603" i="106" s="1"/>
  <c r="F131" i="34"/>
  <c r="D5" i="7"/>
  <c r="B1761" i="106" s="1"/>
  <c r="D1761" i="106" s="1"/>
  <c r="F66" i="34"/>
  <c r="K352" i="29"/>
  <c r="K13" i="4" s="1"/>
  <c r="B3572" i="106" s="1"/>
  <c r="D3572" i="106" s="1"/>
  <c r="H365" i="29"/>
  <c r="D4" i="4"/>
  <c r="B2564" i="106" s="1"/>
  <c r="D2564" i="106" s="1"/>
  <c r="B3170" i="106"/>
  <c r="D3170" i="106" s="1"/>
  <c r="H76" i="4"/>
  <c r="B3298" i="106" s="1"/>
  <c r="D3298" i="106" s="1"/>
  <c r="H109" i="5"/>
  <c r="F41" i="34"/>
  <c r="F35" i="34"/>
  <c r="C172" i="5"/>
  <c r="K173" i="5"/>
  <c r="K6" i="4" s="1"/>
  <c r="B3570" i="106" s="1"/>
  <c r="D3570" i="106" s="1"/>
  <c r="G172" i="5"/>
  <c r="F45" i="34"/>
  <c r="D17" i="7"/>
  <c r="B4104" i="106" s="1"/>
  <c r="D4104" i="106" s="1"/>
  <c r="D4" i="7"/>
  <c r="B1760" i="106" s="1"/>
  <c r="D1760" i="106" s="1"/>
  <c r="J274" i="5"/>
  <c r="B7054" i="106" s="1"/>
  <c r="D7054" i="106" s="1"/>
  <c r="I173" i="5"/>
  <c r="B4216" i="106" s="1"/>
  <c r="D4216" i="106" s="1"/>
  <c r="B5096" i="106"/>
  <c r="D5096" i="106" s="1"/>
  <c r="L367" i="29"/>
  <c r="F46" i="34"/>
  <c r="D69" i="36"/>
  <c r="I342" i="29"/>
  <c r="B7222" i="106" s="1"/>
  <c r="D7222" i="106" s="1"/>
  <c r="J77" i="4"/>
  <c r="B6262" i="106" s="1"/>
  <c r="D6262" i="106" s="1"/>
  <c r="B3565" i="106"/>
  <c r="D3565" i="106" s="1"/>
  <c r="K41" i="3"/>
  <c r="H44" i="4"/>
  <c r="B3296" i="106" s="1"/>
  <c r="D3296" i="106" s="1"/>
  <c r="B6289" i="106"/>
  <c r="D6289" i="106" s="1"/>
  <c r="G352" i="29"/>
  <c r="B3647" i="106"/>
  <c r="D3647" i="106" s="1"/>
  <c r="B3619" i="106"/>
  <c r="D3619" i="106" s="1"/>
  <c r="C352" i="29"/>
  <c r="B3454" i="106"/>
  <c r="D3454" i="106" s="1"/>
  <c r="L15" i="11"/>
  <c r="B3459" i="106" s="1"/>
  <c r="D3459" i="106" s="1"/>
  <c r="D22" i="37"/>
  <c r="G5" i="4"/>
  <c r="B3409" i="106" s="1"/>
  <c r="D3409" i="106" s="1"/>
  <c r="B1274" i="106"/>
  <c r="D1274" i="106" s="1"/>
  <c r="K24" i="12"/>
  <c r="L13" i="11"/>
  <c r="B2060" i="106" s="1"/>
  <c r="D2060" i="106" s="1"/>
  <c r="G210" i="29"/>
  <c r="B1124" i="106"/>
  <c r="D1124" i="106" s="1"/>
  <c r="I24" i="12"/>
  <c r="B3689" i="106"/>
  <c r="D3689" i="106" s="1"/>
  <c r="K285" i="29"/>
  <c r="B1410" i="106"/>
  <c r="D1410" i="106" s="1"/>
  <c r="B1329" i="106"/>
  <c r="D1329" i="106" s="1"/>
  <c r="F61" i="34"/>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K7" i="4"/>
  <c r="B3718" i="106" s="1"/>
  <c r="D3718" i="106" s="1"/>
  <c r="F105" i="34"/>
  <c r="F107" i="34"/>
  <c r="F109" i="5"/>
  <c r="J109" i="5"/>
  <c r="J173" i="5"/>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B6022" i="106"/>
  <c r="D6022" i="106" s="1"/>
  <c r="F274" i="5"/>
  <c r="E273" i="5"/>
  <c r="B6835" i="106"/>
  <c r="D6835" i="106" s="1"/>
  <c r="G273" i="5"/>
  <c r="B4398" i="106"/>
  <c r="D4398" i="106" s="1"/>
  <c r="B5537" i="106"/>
  <c r="D5537" i="106" s="1"/>
  <c r="E173" i="5"/>
  <c r="I109" i="5"/>
  <c r="B5527" i="106"/>
  <c r="D5527" i="106" s="1"/>
  <c r="L279" i="29"/>
  <c r="L295" i="29" s="1"/>
  <c r="L74" i="29"/>
  <c r="L114" i="29" s="1"/>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K77" i="4"/>
  <c r="B3587" i="106" s="1"/>
  <c r="D3587"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J7" i="4"/>
  <c r="D274" i="5"/>
  <c r="B7270" i="106"/>
  <c r="B3672" i="106" l="1"/>
  <c r="D3672" i="106" s="1"/>
  <c r="C151" i="29"/>
  <c r="B1226" i="106" s="1"/>
  <c r="D1226" i="106" s="1"/>
  <c r="B1879" i="106"/>
  <c r="D1879" i="106" s="1"/>
  <c r="H22" i="37"/>
  <c r="I6" i="4"/>
  <c r="B5011" i="106" s="1"/>
  <c r="D5011" i="106" s="1"/>
  <c r="H275" i="5"/>
  <c r="D41" i="108"/>
  <c r="E43" i="108" s="1"/>
  <c r="B5914" i="106"/>
  <c r="D5914" i="106" s="1"/>
  <c r="K367" i="29"/>
  <c r="D44" i="36"/>
  <c r="B1381" i="106"/>
  <c r="D1381" i="106" s="1"/>
  <c r="F41" i="108"/>
  <c r="G43" i="108" s="1"/>
  <c r="C114" i="29"/>
  <c r="B757" i="106" s="1"/>
  <c r="D757" i="106" s="1"/>
  <c r="F275" i="5"/>
  <c r="B5720" i="106" s="1"/>
  <c r="D5720" i="106" s="1"/>
  <c r="F6" i="4"/>
  <c r="B2593" i="106" s="1"/>
  <c r="D2593" i="106" s="1"/>
  <c r="C4" i="4"/>
  <c r="B2551" i="106" s="1"/>
  <c r="D2551" i="106" s="1"/>
  <c r="B1317" i="106"/>
  <c r="D1317" i="106" s="1"/>
  <c r="B1996" i="106"/>
  <c r="D1996" i="106" s="1"/>
  <c r="I26" i="12"/>
  <c r="B7741" i="106" s="1"/>
  <c r="D7741" i="106" s="1"/>
  <c r="B7733" i="106"/>
  <c r="D7733" i="106" s="1"/>
  <c r="K26" i="12"/>
  <c r="B7743" i="106" s="1"/>
  <c r="D7743" i="106" s="1"/>
  <c r="B3568" i="106"/>
  <c r="D3568" i="106" s="1"/>
  <c r="D52" i="36"/>
  <c r="B3621" i="106"/>
  <c r="D3621" i="106" s="1"/>
  <c r="C367" i="29"/>
  <c r="B3622" i="106" s="1"/>
  <c r="D3622" i="106" s="1"/>
  <c r="D19" i="7"/>
  <c r="B1775" i="106" s="1"/>
  <c r="D1775" i="106" s="1"/>
  <c r="L16" i="11"/>
  <c r="B2061" i="106" s="1"/>
  <c r="D2061" i="106" s="1"/>
  <c r="B3649" i="106"/>
  <c r="D3649" i="106" s="1"/>
  <c r="G367" i="29"/>
  <c r="B3650" i="106" s="1"/>
  <c r="D3650" i="106" s="1"/>
  <c r="G173" i="5"/>
  <c r="B5770" i="106"/>
  <c r="D5770" i="106" s="1"/>
  <c r="F73" i="34"/>
  <c r="G15" i="4"/>
  <c r="B6032" i="106" s="1"/>
  <c r="D6032" i="106" s="1"/>
  <c r="B1365" i="106"/>
  <c r="D1365" i="106" s="1"/>
  <c r="F65" i="34"/>
  <c r="B6025" i="106"/>
  <c r="D6025" i="106" s="1"/>
  <c r="H4" i="4"/>
  <c r="H367" i="29"/>
  <c r="B3660" i="106" s="1"/>
  <c r="D3660" i="106" s="1"/>
  <c r="B7242" i="106"/>
  <c r="D7242" i="106" s="1"/>
  <c r="B3628" i="106"/>
  <c r="D3628" i="106" s="1"/>
  <c r="B5214" i="106"/>
  <c r="D5214" i="106" s="1"/>
  <c r="C173" i="5"/>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D7" i="4"/>
  <c r="D275" i="5"/>
  <c r="B5507" i="106"/>
  <c r="D5507" i="106" s="1"/>
  <c r="B7298" i="106"/>
  <c r="B7299" i="106"/>
  <c r="F24" i="37" l="1"/>
  <c r="J8" i="4"/>
  <c r="E41" i="108"/>
  <c r="E44" i="108" s="1"/>
  <c r="E45" i="108" s="1"/>
  <c r="F8" i="4"/>
  <c r="F10" i="4" s="1"/>
  <c r="B4125" i="106" s="1"/>
  <c r="D4125" i="106" s="1"/>
  <c r="G41" i="108"/>
  <c r="G44" i="108" s="1"/>
  <c r="G45" i="108" s="1"/>
  <c r="B5223" i="106"/>
  <c r="D5223" i="106" s="1"/>
  <c r="C6" i="4"/>
  <c r="B2553" i="106" s="1"/>
  <c r="D2553" i="106" s="1"/>
  <c r="B5778" i="106"/>
  <c r="D5778" i="106" s="1"/>
  <c r="G6" i="4"/>
  <c r="B2604" i="106" s="1"/>
  <c r="D2604" i="106" s="1"/>
  <c r="B2655" i="106"/>
  <c r="D2655"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D8" i="146" l="1"/>
  <c r="B2595" i="106"/>
  <c r="D2595" i="106" s="1"/>
  <c r="F76" i="34"/>
  <c r="B2658" i="106"/>
  <c r="D2658" i="106" s="1"/>
  <c r="H10" i="4"/>
  <c r="B4127" i="106" s="1"/>
  <c r="D4127"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<sst xmlns="http://schemas.openxmlformats.org/spreadsheetml/2006/main" count="5190" uniqueCount="2163">
  <si>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</si>
  <si>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</si>
  <si>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</si>
  <si>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</si>
  <si>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</si>
  <si>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</si>
  <si>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</si>
  <si>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</si>
  <si>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</si>
  <si>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</si>
  <si>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</si>
  <si>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</si>
  <si>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</si>
  <si>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</si>
  <si>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</si>
  <si>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</si>
  <si>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</si>
  <si>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</si>
  <si>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</si>
  <si>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</si>
  <si>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</si>
  <si>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</si>
  <si>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</si>
  <si>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</si>
  <si>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</si>
  <si>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</si>
  <si>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</si>
  <si>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</si>
  <si>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</si>
  <si>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</si>
  <si>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</si>
  <si>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</si>
  <si>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</si>
  <si>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</si>
  <si>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</si>
  <si>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</si>
  <si>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</si>
  <si>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</si>
  <si>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</si>
  <si>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</si>
  <si>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</si>
  <si>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</si>
  <si>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</si>
  <si>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</si>
  <si>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</si>
  <si>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</si>
  <si>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</si>
  <si>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</si>
  <si>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</si>
  <si>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</si>
  <si>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</si>
  <si>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</si>
  <si>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</si>
  <si>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</si>
  <si>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</si>
  <si>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</si>
  <si>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</si>
  <si>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</si>
  <si>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</si>
  <si>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</si>
  <si>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</si>
  <si>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</si>
  <si>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</si>
  <si>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</si>
  <si>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</si>
  <si>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</si>
  <si>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</si>
  <si>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</si>
  <si>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</si>
  <si>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</si>
  <si>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</si>
  <si>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</si>
  <si>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</si>
  <si>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</si>
  <si>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</si>
  <si>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</si>
  <si>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</si>
  <si>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</si>
  <si>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</si>
  <si>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</si>
  <si>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</si>
  <si>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</si>
  <si>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</si>
  <si>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</si>
  <si>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</si>
  <si>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</si>
  <si>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</si>
  <si>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</si>
  <si>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</si>
  <si>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</si>
  <si>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</si>
  <si>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</si>
  <si>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</si>
  <si>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</si>
  <si>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</si>
  <si>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</si>
  <si>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</si>
  <si>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</si>
  <si>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</si>
  <si>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</si>
  <si>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</si>
  <si>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</si>
  <si>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</si>
  <si>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</si>
  <si>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</si>
  <si>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</si>
  <si>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</si>
  <si>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</si>
  <si>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</si>
  <si>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</si>
  <si>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</si>
  <si>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</si>
  <si>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</si>
  <si>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</si>
  <si>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</si>
  <si>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</si>
  <si>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</si>
  <si>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</si>
  <si>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</si>
  <si>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</si>
  <si>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</si>
  <si>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</si>
  <si>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</si>
  <si>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</si>
  <si>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</si>
  <si>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</si>
  <si>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</si>
  <si>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</si>
  <si>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</si>
  <si>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</si>
  <si>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</si>
  <si>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</si>
  <si>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</si>
  <si>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</si>
  <si>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</si>
  <si>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</si>
  <si>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</si>
  <si>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</si>
  <si>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</si>
  <si>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</si>
  <si>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</si>
  <si>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</si>
  <si>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</si>
  <si>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</si>
  <si>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</si>
  <si>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</si>
  <si>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</si>
  <si>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</si>
  <si>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</si>
  <si>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</si>
  <si>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</si>
  <si>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</si>
  <si>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</si>
  <si>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</si>
  <si>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</si>
  <si>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</si>
  <si>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</si>
  <si>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</si>
  <si>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</si>
  <si>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</si>
  <si>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</si>
  <si>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</si>
  <si>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</si>
  <si>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</si>
  <si>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</si>
  <si>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</si>
  <si>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</si>
  <si>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</si>
  <si>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</si>
  <si>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</si>
  <si>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</si>
  <si>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</si>
  <si>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</si>
  <si>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</si>
  <si>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</si>
  <si>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</si>
  <si>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</si>
  <si>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</si>
  <si>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</si>
  <si>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</si>
  <si>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</si>
  <si>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</si>
  <si>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</si>
  <si>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</si>
  <si>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</si>
  <si>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</si>
  <si>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</si>
  <si>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</si>
  <si>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</si>
  <si>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</si>
  <si>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</si>
  <si>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</si>
  <si>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</si>
  <si>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</si>
  <si>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</si>
  <si>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</si>
  <si>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</si>
  <si>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</si>
  <si>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</si>
  <si>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</si>
  <si>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</si>
  <si>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</si>
  <si>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</si>
  <si>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</si>
  <si>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</si>
  <si>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</si>
  <si>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</si>
  <si>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</si>
  <si>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</si>
  <si>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</si>
  <si>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</si>
  <si>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</si>
  <si>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</si>
  <si>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</si>
  <si>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</si>
  <si>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</si>
  <si>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</si>
  <si>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</si>
  <si>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</si>
  <si>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</si>
  <si>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</si>
  <si>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</si>
  <si>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</si>
  <si>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</si>
  <si>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</si>
  <si>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</si>
  <si>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</si>
  <si>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</si>
  <si>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</si>
  <si>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</si>
  <si>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</si>
  <si>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</si>
  <si>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</si>
  <si>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</si>
  <si>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</si>
  <si>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</si>
  <si>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</si>
  <si>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</si>
  <si>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</si>
  <si>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</si>
  <si>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</si>
  <si>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</si>
  <si>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</si>
  <si>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</si>
  <si>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</si>
  <si>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</si>
  <si>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</si>
  <si>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</si>
  <si>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</si>
  <si>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</si>
  <si>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</si>
  <si>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</si>
  <si>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</si>
  <si>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</si>
  <si>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</si>
  <si>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</si>
  <si>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</si>
  <si>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</si>
  <si>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</si>
  <si>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</si>
  <si>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</si>
  <si>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</si>
  <si>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</si>
  <si>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</si>
  <si>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</si>
  <si>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</si>
  <si>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</si>
  <si>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</si>
  <si>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</si>
  <si>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</si>
  <si>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</si>
  <si>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</si>
  <si>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</si>
  <si>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</si>
  <si>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</si>
  <si>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</si>
  <si>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</si>
  <si>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</si>
  <si>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</si>
  <si>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</si>
  <si>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</si>
  <si>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</si>
  <si>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</si>
  <si>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</si>
  <si>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</si>
  <si>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</si>
  <si>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</si>
  <si>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</si>
  <si>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</si>
  <si>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</si>
  <si>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</si>
  <si>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</si>
  <si>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</si>
  <si>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</si>
  <si>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</si>
  <si>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</si>
  <si>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</si>
  <si>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</si>
  <si>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</si>
  <si>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</si>
  <si>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</si>
  <si>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</si>
  <si>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</si>
  <si>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</si>
  <si>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</si>
  <si>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</si>
  <si>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</si>
  <si>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</si>
  <si>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</si>
  <si>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</si>
  <si>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</si>
  <si>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</si>
  <si>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</si>
  <si>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</si>
  <si>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</si>
  <si>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</si>
  <si>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</si>
  <si>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</si>
  <si>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</si>
  <si>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</si>
  <si>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</si>
  <si>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</si>
  <si>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</si>
  <si>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</si>
  <si>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</si>
  <si>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</si>
  <si>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</si>
  <si>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</si>
  <si>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</si>
  <si>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</si>
  <si>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</si>
  <si>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</si>
  <si>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</si>
  <si>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</si>
  <si>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</si>
  <si>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</si>
  <si>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</si>
  <si>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</si>
  <si>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</si>
  <si>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</si>
  <si>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</si>
  <si>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</si>
  <si>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</si>
  <si>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</si>
  <si>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</si>
  <si>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</si>
  <si>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</si>
  <si>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</si>
  <si>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</si>
  <si>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</si>
  <si>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</si>
  <si>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</si>
  <si>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</si>
  <si>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</si>
  <si>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</si>
  <si>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</si>
  <si>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</si>
  <si>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</si>
  <si>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</si>
  <si>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</si>
  <si>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</si>
  <si>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</si>
  <si>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</si>
  <si>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</si>
  <si>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</si>
  <si>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</si>
  <si>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</si>
  <si>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</si>
  <si>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</si>
  <si>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</si>
  <si>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</si>
  <si>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</si>
  <si>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</si>
  <si>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</si>
  <si>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</si>
  <si>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</si>
  <si>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</si>
  <si>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</si>
  <si>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</si>
  <si>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</si>
  <si>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</si>
  <si>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</si>
  <si>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</si>
  <si>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</si>
  <si>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</si>
  <si>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</si>
  <si>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</si>
  <si>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</si>
  <si>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</si>
  <si>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</si>
  <si>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</si>
  <si>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</si>
  <si>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</si>
  <si>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</si>
  <si>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</si>
  <si>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</si>
  <si>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</si>
  <si>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</si>
  <si>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</si>
  <si>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</si>
  <si>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</si>
  <si>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</si>
  <si>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</si>
  <si>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</si>
  <si>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</si>
  <si>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</si>
  <si>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</si>
  <si>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</si>
  <si>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</si>
  <si>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</si>
  <si>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</si>
  <si>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</si>
  <si>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</si>
  <si>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</si>
  <si>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</si>
  <si>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</si>
  <si>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</si>
  <si>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</si>
  <si>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</si>
  <si>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</si>
  <si>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</si>
  <si>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</si>
  <si>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</si>
  <si>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</si>
  <si>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</si>
  <si>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</si>
  <si>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</si>
  <si>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</si>
  <si>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</si>
  <si>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</si>
  <si>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</si>
  <si>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</si>
  <si>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</si>
  <si>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</si>
  <si>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</si>
  <si>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</si>
  <si>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</si>
  <si>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</si>
  <si>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</si>
  <si>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</si>
  <si>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</si>
  <si>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</si>
  <si>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</si>
  <si>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</si>
  <si>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</si>
  <si>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</si>
  <si>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</si>
  <si>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</si>
  <si>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</si>
  <si>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</si>
  <si>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</si>
  <si>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</si>
  <si>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</si>
  <si>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</si>
  <si>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</si>
  <si>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</si>
  <si>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</si>
  <si>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</si>
  <si>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</si>
  <si>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</si>
  <si>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</si>
  <si>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</si>
  <si>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</si>
  <si>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</si>
  <si>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</si>
  <si>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</si>
  <si>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</si>
  <si>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</si>
  <si>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</si>
  <si>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</si>
  <si>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</si>
  <si>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</si>
  <si>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</si>
  <si>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</si>
  <si>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</si>
  <si>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</si>
  <si>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</si>
  <si>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</si>
  <si>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</si>
  <si>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</si>
  <si>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</si>
  <si>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</si>
  <si>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</si>
  <si>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</si>
  <si>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</si>
  <si>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</si>
  <si>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</si>
  <si>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</si>
  <si>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</si>
  <si>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</si>
  <si>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</si>
  <si>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</si>
  <si>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</si>
  <si>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</si>
  <si>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</si>
  <si>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</si>
  <si>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</si>
  <si>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</si>
  <si>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</si>
  <si>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</si>
  <si>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</si>
  <si>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</si>
  <si>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</si>
  <si>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</si>
  <si>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</si>
  <si>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</si>
  <si>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</si>
  <si>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</si>
  <si>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</si>
  <si>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</si>
  <si>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</si>
  <si>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</si>
  <si>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</si>
  <si>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</si>
  <si>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</si>
  <si>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</si>
  <si>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</si>
  <si>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</si>
  <si>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</si>
  <si>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</si>
  <si>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</si>
  <si>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</si>
  <si>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</si>
  <si>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</si>
  <si>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</si>
  <si>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</si>
  <si>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</si>
  <si>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</si>
  <si>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</si>
  <si>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</si>
  <si>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</si>
  <si>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</si>
  <si>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</si>
  <si>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</si>
  <si>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</si>
  <si>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</si>
  <si>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</si>
  <si>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</si>
  <si>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</si>
  <si>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</si>
  <si>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</si>
  <si>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</si>
  <si>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</si>
  <si>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</si>
  <si>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</si>
  <si>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</si>
  <si>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</si>
  <si>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</si>
  <si>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</si>
  <si>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</si>
  <si>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</si>
  <si>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</si>
  <si>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</si>
  <si>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</si>
  <si>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</si>
  <si>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</si>
  <si>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</si>
  <si>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</si>
  <si>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</si>
  <si>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</si>
  <si>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</si>
  <si>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</si>
  <si>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</si>
  <si>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</si>
  <si>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</si>
  <si>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</si>
  <si>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</si>
  <si>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</si>
  <si>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</si>
  <si>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</si>
  <si>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</si>
  <si>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</si>
  <si>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</si>
  <si>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</si>
  <si>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</si>
  <si>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</si>
  <si>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</si>
  <si>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</si>
  <si>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</si>
  <si>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</si>
  <si>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</si>
  <si>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</si>
  <si>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</si>
  <si>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</si>
  <si>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</si>
  <si>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</si>
  <si>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</si>
  <si>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</si>
  <si>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</si>
  <si>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</si>
  <si>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</si>
  <si>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</si>
  <si>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</si>
  <si>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</si>
  <si>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</si>
  <si>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</si>
  <si>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</si>
  <si>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</si>
  <si>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</si>
  <si>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</si>
  <si>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</si>
  <si>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</si>
  <si>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</si>
  <si>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</si>
  <si>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</si>
  <si>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</si>
  <si>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</si>
  <si>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</si>
  <si>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</si>
  <si>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</si>
  <si>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</si>
  <si>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</si>
  <si>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</si>
  <si>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</si>
  <si>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</si>
  <si>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</si>
  <si>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</si>
  <si>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</si>
  <si>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</si>
  <si>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</si>
  <si>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</si>
  <si>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</si>
  <si>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</si>
  <si>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</si>
  <si>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</si>
  <si>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</si>
  <si>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</si>
  <si>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</si>
  <si>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</si>
  <si>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</si>
  <si>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</si>
  <si>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</si>
  <si>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</si>
  <si>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</si>
  <si>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</si>
  <si>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</si>
  <si>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</si>
  <si>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</si>
  <si>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</si>
  <si>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</si>
  <si>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</si>
  <si>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</si>
  <si>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</si>
  <si>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</si>
  <si>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</si>
  <si>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</si>
  <si>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</si>
  <si>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</si>
  <si>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</si>
  <si>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</si>
  <si>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</si>
  <si>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</si>
  <si>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</si>
  <si>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</si>
  <si>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</si>
  <si>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</si>
  <si>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</si>
  <si>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</si>
  <si>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</si>
  <si>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</si>
  <si>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</si>
  <si>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</si>
  <si>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</si>
  <si>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</si>
  <si>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</si>
  <si>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</si>
  <si>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</si>
  <si>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</si>
  <si>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</si>
  <si>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</si>
  <si>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</si>
  <si>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</si>
  <si>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</si>
  <si>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</si>
  <si>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</si>
  <si>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</si>
  <si>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</si>
  <si>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</si>
  <si>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</si>
  <si>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</si>
  <si>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</si>
  <si>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</si>
  <si>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</si>
  <si>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</si>
  <si>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</si>
  <si>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</si>
  <si>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</si>
  <si>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</si>
  <si>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</si>
  <si>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</si>
  <si>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</si>
  <si>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</si>
  <si>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</si>
  <si>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</si>
  <si>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</si>
  <si>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</si>
  <si>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</si>
  <si>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</si>
  <si>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</si>
  <si>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</si>
  <si>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</si>
  <si>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</si>
  <si>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</si>
  <si>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</si>
  <si>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</si>
  <si>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</si>
  <si>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</si>
  <si>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</si>
  <si>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</si>
  <si>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</si>
  <si>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</si>
  <si>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</si>
  <si>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</si>
  <si>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</si>
  <si>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</si>
  <si>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</si>
  <si>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</si>
  <si>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</si>
  <si>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</si>
  <si>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</si>
  <si>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</si>
  <si>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</si>
  <si>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</si>
  <si>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</si>
  <si>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</si>
  <si>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</si>
  <si>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</si>
  <si>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</si>
  <si>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</si>
  <si>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</si>
  <si>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</si>
  <si>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</si>
  <si>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</si>
  <si>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</si>
  <si>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</si>
  <si>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</si>
  <si>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</si>
  <si>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</si>
  <si>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</si>
  <si>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</si>
  <si>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</si>
  <si>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</si>
  <si>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</si>
  <si>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</si>
  <si>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</si>
  <si>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</si>
  <si>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</si>
  <si>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</si>
  <si>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</si>
  <si>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</si>
  <si>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</si>
  <si>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</si>
  <si>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</si>
  <si>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</si>
  <si>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</si>
  <si>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</si>
  <si>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</si>
  <si>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</si>
  <si>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</si>
  <si>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</si>
  <si>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</si>
  <si>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</si>
  <si>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</si>
  <si>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</si>
  <si>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</si>
  <si>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</si>
  <si>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</si>
  <si>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</si>
  <si>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</si>
  <si>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</si>
  <si>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</si>
  <si>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</si>
  <si>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</si>
  <si>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</si>
  <si>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</si>
  <si>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</si>
  <si>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</si>
  <si>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</si>
  <si>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</si>
  <si>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</si>
  <si>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</si>
  <si>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</si>
  <si>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</si>
  <si>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</si>
  <si>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</si>
  <si>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</si>
  <si>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</si>
  <si>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</si>
  <si>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</si>
  <si>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</si>
  <si>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</si>
  <si>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</si>
  <si>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</si>
  <si>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</si>
  <si>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</si>
  <si>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</si>
  <si>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</si>
  <si>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</si>
  <si>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</si>
  <si>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</si>
  <si>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</si>
  <si>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</si>
  <si>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</si>
  <si>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</si>
  <si>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</si>
  <si>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</si>
  <si>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</si>
  <si>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</si>
  <si>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</si>
  <si>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</si>
  <si>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</si>
  <si>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</si>
  <si>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</si>
  <si>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</si>
  <si>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</si>
  <si>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</si>
  <si>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</si>
  <si>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</si>
  <si>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</si>
  <si>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</si>
  <si>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</si>
  <si>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</si>
  <si>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</si>
  <si>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</si>
  <si>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</si>
  <si>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</si>
  <si>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</si>
  <si>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</si>
  <si>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</si>
  <si>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</si>
  <si>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</si>
  <si>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</si>
  <si>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</si>
  <si>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</si>
  <si>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</si>
  <si>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</si>
  <si>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</si>
  <si>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</si>
  <si>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</si>
  <si>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</si>
  <si>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</si>
  <si>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</si>
  <si>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</si>
  <si>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</si>
  <si>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</si>
  <si>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</si>
  <si>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</si>
  <si>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</si>
  <si>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</si>
  <si>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</si>
  <si>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</si>
  <si>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</si>
  <si>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</si>
  <si>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</si>
  <si>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</si>
  <si>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</si>
  <si>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</si>
  <si>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</si>
  <si>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</si>
  <si>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</si>
  <si>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</si>
  <si>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</si>
  <si>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</si>
  <si>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</si>
  <si>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</si>
  <si>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</si>
  <si>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</si>
  <si>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</si>
  <si>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</si>
  <si>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</si>
  <si>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</si>
  <si>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</si>
  <si>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</si>
  <si>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</si>
  <si>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</si>
  <si>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</si>
  <si>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</si>
  <si>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</si>
  <si>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</si>
  <si>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</si>
  <si>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</si>
  <si>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</si>
  <si>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</si>
  <si>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</si>
  <si>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</si>
  <si>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</si>
  <si>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</si>
  <si>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</si>
  <si>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</si>
  <si>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</si>
  <si>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</si>
  <si>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</si>
  <si>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</si>
  <si>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</si>
  <si>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</si>
  <si>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</si>
  <si>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</si>
  <si>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</si>
  <si>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</si>
  <si>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</si>
  <si>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</si>
  <si>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</si>
  <si>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</si>
  <si>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</si>
  <si>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</si>
  <si>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</si>
  <si>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</si>
  <si>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</si>
  <si>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</si>
  <si>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</si>
  <si>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</si>
  <si>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</si>
  <si>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</si>
  <si>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</si>
  <si>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</si>
  <si>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</si>
  <si>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</si>
  <si>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</si>
  <si>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</si>
  <si>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</si>
  <si>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</si>
  <si>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</si>
  <si>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</si>
  <si>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</si>
  <si>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</si>
  <si>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</si>
  <si>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</si>
  <si>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</si>
  <si>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</si>
  <si>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</si>
  <si>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</si>
  <si>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</si>
  <si>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</si>
  <si>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</si>
  <si>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</si>
  <si>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</si>
  <si>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</si>
  <si>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</si>
  <si>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</si>
  <si>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</si>
  <si>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</si>
  <si>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</si>
  <si>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</si>
  <si>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</si>
  <si>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</si>
  <si>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</si>
  <si>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</si>
  <si>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</si>
  <si>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</si>
  <si>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</si>
  <si>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</si>
  <si>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</si>
  <si>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</si>
  <si>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</si>
  <si>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</si>
  <si>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</si>
  <si>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</si>
  <si>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</si>
  <si>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</si>
  <si>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</si>
  <si>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</si>
  <si>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</si>
  <si>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</si>
  <si>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</si>
  <si>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</si>
  <si>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</si>
  <si>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</si>
  <si>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</si>
  <si>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</si>
  <si>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</si>
  <si>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</si>
  <si>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</si>
  <si>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</si>
  <si>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</si>
  <si>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</si>
  <si>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</si>
  <si>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</si>
  <si>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</si>
  <si>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</si>
  <si>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</si>
  <si>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</si>
  <si>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</si>
  <si>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</si>
  <si>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</si>
  <si>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</si>
  <si>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</si>
  <si>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</si>
  <si>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</si>
  <si>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</si>
  <si>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</si>
  <si>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</si>
  <si>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</si>
  <si>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</si>
  <si>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</si>
  <si>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</si>
  <si>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</si>
  <si>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</si>
  <si>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</si>
  <si>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</si>
  <si>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</si>
  <si>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</si>
  <si>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</si>
  <si>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</si>
  <si>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</si>
  <si>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</si>
  <si>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</si>
  <si>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</si>
  <si>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</si>
  <si>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</si>
  <si>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</si>
  <si>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</si>
  <si>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</si>
  <si>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</si>
  <si>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</si>
  <si>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</si>
  <si>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</si>
  <si>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</si>
  <si>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</si>
  <si>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</si>
  <si>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</si>
  <si>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</si>
  <si>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</si>
  <si>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</si>
  <si>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</si>
  <si>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</si>
  <si>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</si>
  <si>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</si>
  <si>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</si>
  <si>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</si>
  <si>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</si>
  <si>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</si>
  <si>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</si>
  <si>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</si>
  <si>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</si>
  <si>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</si>
  <si>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</si>
  <si>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</si>
  <si>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</si>
  <si>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</si>
  <si>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</si>
  <si>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</si>
  <si>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</si>
  <si>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</si>
  <si>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</si>
  <si>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</si>
  <si>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</si>
  <si>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</si>
  <si>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</si>
  <si>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</si>
  <si>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</si>
  <si>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</si>
  <si>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</si>
  <si>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</si>
  <si>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</si>
  <si>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</si>
  <si>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</si>
  <si>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</si>
  <si>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</si>
  <si>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</si>
  <si>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</si>
  <si>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</si>
  <si>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</si>
  <si>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</si>
  <si>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</si>
  <si>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</si>
  <si>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</si>
  <si>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</si>
  <si>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</si>
  <si>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</si>
  <si>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</si>
  <si>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</si>
  <si>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</si>
  <si>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</si>
  <si>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</si>
  <si>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</si>
  <si>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</si>
  <si>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</si>
  <si>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</si>
  <si>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</si>
  <si>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</si>
  <si>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</si>
  <si>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</si>
  <si>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</si>
  <si>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</si>
  <si>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</si>
  <si>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</si>
  <si>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</si>
  <si>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</si>
  <si>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</si>
  <si>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</si>
  <si>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</si>
  <si>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</si>
  <si>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</si>
  <si>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</si>
  <si>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</si>
  <si>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</si>
  <si>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</si>
  <si>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</si>
  <si>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</si>
  <si>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</si>
  <si>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</si>
  <si>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</si>
  <si>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</si>
  <si>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</si>
  <si>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</si>
  <si>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</si>
  <si>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</si>
  <si>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</si>
  <si>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</si>
  <si>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</si>
  <si>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</si>
  <si>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</si>
  <si>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</si>
  <si>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</si>
  <si>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</si>
  <si>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</si>
  <si>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</si>
  <si>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</si>
  <si>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</si>
  <si>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</si>
  <si>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</si>
  <si>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</si>
  <si>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</si>
  <si>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</si>
  <si>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</si>
  <si>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</si>
  <si>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</si>
  <si>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</si>
  <si>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</si>
  <si>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</si>
  <si>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</si>
  <si>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</si>
  <si>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</si>
  <si>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</si>
  <si>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</si>
  <si>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</si>
  <si>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</si>
  <si>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</si>
  <si>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</si>
  <si>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</si>
  <si>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</si>
  <si>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</si>
  <si>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</si>
  <si>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</si>
  <si>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</si>
  <si>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</si>
  <si>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</si>
  <si>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</si>
  <si>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</si>
  <si>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</si>
  <si>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</si>
  <si>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</si>
  <si>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</si>
  <si>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</si>
  <si>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</si>
  <si>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</si>
  <si>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</si>
  <si>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</si>
  <si>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</si>
  <si>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</si>
  <si>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</si>
  <si>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</si>
  <si>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</si>
  <si>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</si>
  <si>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</si>
  <si>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</si>
  <si>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</si>
  <si>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</si>
  <si>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</si>
  <si>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</si>
  <si>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</si>
  <si>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</si>
  <si>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</si>
  <si>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</si>
  <si>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</si>
  <si>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</si>
  <si>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</si>
  <si>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</si>
  <si>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</si>
  <si>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</si>
  <si>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</si>
  <si>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</si>
  <si>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</si>
  <si>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</si>
  <si>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</si>
  <si>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</si>
  <si>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</si>
  <si>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</si>
  <si>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</si>
  <si>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</si>
  <si>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</si>
  <si>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</si>
  <si>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</si>
  <si>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</si>
  <si>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</si>
  <si>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</si>
  <si>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</si>
  <si>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</si>
  <si>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</si>
  <si>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</si>
  <si>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</si>
  <si>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</si>
  <si>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</si>
  <si>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</si>
  <si>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</si>
  <si>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</si>
  <si>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</si>
  <si>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</si>
  <si>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</si>
  <si>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</si>
  <si>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</si>
  <si>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</si>
  <si>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</si>
  <si>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</si>
  <si>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</si>
  <si>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</si>
  <si>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</si>
  <si>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</si>
  <si>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</si>
  <si>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</si>
  <si>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</si>
  <si>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</si>
  <si>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</si>
  <si>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</si>
  <si>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</si>
  <si>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</si>
  <si>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</si>
  <si>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</si>
  <si>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</si>
  <si>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</si>
  <si>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</si>
  <si>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</si>
  <si>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</si>
  <si>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</si>
  <si>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</si>
  <si>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</si>
  <si>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</si>
  <si>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</si>
  <si>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</si>
  <si>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</si>
  <si>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</si>
  <si>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</si>
  <si>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</si>
  <si>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</si>
  <si>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</si>
  <si>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</si>
  <si>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</si>
  <si>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</si>
  <si>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</si>
  <si>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</si>
  <si>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</si>
  <si>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</si>
  <si>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</si>
  <si>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</si>
  <si>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</si>
  <si>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</si>
  <si>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</si>
  <si>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</si>
  <si>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</si>
  <si>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</si>
  <si>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</si>
  <si>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</si>
  <si>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</si>
  <si>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</si>
  <si>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</si>
  <si>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</si>
  <si>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</si>
  <si>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</si>
  <si>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</si>
  <si>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</si>
  <si>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</si>
  <si>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</si>
  <si>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</si>
  <si>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</si>
  <si>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</si>
  <si>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</si>
  <si>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</si>
  <si>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</si>
  <si>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</si>
  <si>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</si>
  <si>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</si>
  <si>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</si>
  <si>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</si>
  <si>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</si>
  <si>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</si>
  <si>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</si>
  <si>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</si>
  <si>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</si>
  <si>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</si>
  <si>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</si>
  <si>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</si>
  <si>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</si>
  <si>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</si>
  <si>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</si>
  <si>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</si>
  <si>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</si>
  <si>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</si>
  <si>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</si>
  <si>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</si>
  <si>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</si>
  <si>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</si>
  <si>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</si>
  <si>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</si>
  <si>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</si>
  <si>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</si>
  <si>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</si>
  <si>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</si>
  <si>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</si>
  <si>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</si>
  <si>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</si>
  <si>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</si>
  <si>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</si>
  <si>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</si>
  <si>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</si>
  <si>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</si>
  <si>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</si>
  <si>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</si>
  <si>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</si>
  <si>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</si>
  <si>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</si>
  <si>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</si>
  <si>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</si>
  <si>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</si>
  <si>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</si>
  <si>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</si>
  <si>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</si>
  <si>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</si>
  <si>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</si>
  <si>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</si>
  <si>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</si>
  <si>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</si>
  <si>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</si>
  <si>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</si>
  <si>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</si>
  <si>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</si>
  <si>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</si>
  <si>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</si>
  <si>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</si>
  <si>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</si>
  <si>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</si>
  <si>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</si>
  <si>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</si>
  <si>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</si>
  <si>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</si>
  <si>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</si>
  <si>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</si>
  <si>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</si>
  <si>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</si>
  <si>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</si>
  <si>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</si>
  <si>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</si>
  <si>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</si>
  <si>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</si>
  <si>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</si>
  <si>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</si>
  <si>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</si>
  <si>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</si>
  <si>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</si>
  <si>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</si>
  <si>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</si>
  <si>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</si>
  <si>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</si>
  <si>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</si>
  <si>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</si>
  <si>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</si>
  <si>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</si>
  <si>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</si>
  <si>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</si>
  <si>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</si>
  <si>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</si>
  <si>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</si>
  <si>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</si>
  <si>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</si>
  <si>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</si>
  <si>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</si>
  <si>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</si>
  <si>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</si>
  <si>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</si>
  <si>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</si>
  <si>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</si>
  <si>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</si>
  <si>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</si>
  <si>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</si>
  <si>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</si>
  <si>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</si>
  <si>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</si>
  <si>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</si>
  <si>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</si>
  <si>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</si>
  <si>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</si>
  <si>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</si>
  <si>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</si>
  <si>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</si>
  <si>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</si>
  <si>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</si>
  <si>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</si>
  <si>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</si>
  <si>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</si>
  <si>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</si>
  <si>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</si>
  <si>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</si>
  <si>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</si>
  <si>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</si>
  <si>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</si>
  <si>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</si>
  <si>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</si>
  <si>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</si>
  <si>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</si>
  <si>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</si>
  <si>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</si>
  <si>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</si>
  <si>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</si>
  <si>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</si>
  <si>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</si>
  <si>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</si>
  <si>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</si>
  <si>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</si>
  <si>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</si>
  <si>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</si>
  <si>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</si>
  <si>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</si>
  <si>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</si>
  <si>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</si>
  <si>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</si>
  <si>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</si>
  <si>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</si>
  <si>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</si>
  <si>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</si>
  <si>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</si>
  <si>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</si>
  <si>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</si>
  <si>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</si>
  <si>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</si>
  <si>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</si>
  <si>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</si>
  <si>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</si>
  <si>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</si>
  <si>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</si>
  <si>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</si>
  <si>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</si>
  <si>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</si>
  <si>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</si>
  <si>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</si>
  <si>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</si>
  <si>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</si>
  <si>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</si>
  <si>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</si>
  <si>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</si>
  <si>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</si>
  <si>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</si>
  <si>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</si>
  <si>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</si>
  <si>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</si>
  <si>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</si>
  <si>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</si>
  <si>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</si>
  <si>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</si>
  <si>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</si>
  <si>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</si>
  <si>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</si>
  <si>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</si>
  <si>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</si>
  <si>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</si>
  <si>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</si>
  <si>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</si>
  <si>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</si>
  <si>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</si>
  <si>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</si>
  <si>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</si>
  <si>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</si>
  <si>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</si>
  <si>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</si>
  <si>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</si>
  <si>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</si>
  <si>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</si>
  <si>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</si>
  <si>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</si>
  <si>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</si>
  <si>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</si>
  <si>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</si>
  <si>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</si>
  <si>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</si>
  <si>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</si>
  <si>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</si>
  <si>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</si>
  <si>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</si>
  <si>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</si>
  <si>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</si>
  <si>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</si>
  <si>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</si>
  <si>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</si>
  <si>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</si>
  <si>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</si>
  <si>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</si>
  <si>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</si>
  <si>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</si>
  <si>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</si>
  <si>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</si>
  <si>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</si>
  <si>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</si>
  <si>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</si>
  <si>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</si>
  <si>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</si>
  <si>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</si>
  <si>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</si>
  <si>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</si>
  <si>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</si>
  <si>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</si>
  <si>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</si>
  <si>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</si>
  <si>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</si>
  <si>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</si>
  <si>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</si>
  <si>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</si>
  <si>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</si>
  <si>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</si>
  <si>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</si>
  <si>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</si>
  <si>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</si>
  <si>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</si>
  <si>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</si>
  <si>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</si>
  <si>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</si>
  <si>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</si>
  <si>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</si>
  <si>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</si>
  <si>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</si>
  <si>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</si>
  <si>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</si>
  <si>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</si>
  <si>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</si>
  <si>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</si>
  <si>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</si>
  <si>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</si>
  <si>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</si>
  <si>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</si>
  <si>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</si>
  <si>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</si>
  <si>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</si>
  <si>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</si>
  <si>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</si>
  <si>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</si>
  <si>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</si>
  <si>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</si>
  <si>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</si>
  <si>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</si>
  <si>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</si>
  <si>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</si>
  <si>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</si>
  <si>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</si>
  <si>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</si>
  <si>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</si>
  <si>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</si>
  <si>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</si>
  <si>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</si>
  <si>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</si>
  <si>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</si>
  <si>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</si>
  <si>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</si>
  <si>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</si>
  <si>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</si>
  <si>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</si>
  <si>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</si>
  <si>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</si>
  <si>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</si>
  <si>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</si>
  <si>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</si>
  <si>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</si>
  <si>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</si>
  <si>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</si>
  <si>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</si>
  <si>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</si>
  <si>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</si>
  <si>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</si>
  <si>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</si>
  <si>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</si>
  <si>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</si>
  <si>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</si>
  <si>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</si>
  <si>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</si>
  <si>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</si>
  <si>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</si>
  <si>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</si>
  <si>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</si>
  <si>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</si>
  <si>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</si>
  <si>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</si>
  <si>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</si>
  <si>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</si>
  <si>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</si>
  <si>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</si>
  <si>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</si>
  <si>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</si>
  <si>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</si>
  <si>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</si>
  <si>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</si>
  <si>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</si>
  <si>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</si>
  <si>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</si>
  <si>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</si>
  <si>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</si>
  <si>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</si>
  <si>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</si>
  <si>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</si>
  <si>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</si>
  <si>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</si>
  <si>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</si>
  <si>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</si>
  <si>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</si>
  <si>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</si>
  <si>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</si>
  <si>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</si>
  <si>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</si>
  <si>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</si>
  <si>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</si>
  <si>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</si>
  <si>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</si>
  <si>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</si>
  <si>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</si>
  <si>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</si>
  <si>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</si>
  <si>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</si>
  <si>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</si>
  <si>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</si>
  <si>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</si>
  <si>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</si>
  <si>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</si>
  <si>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</si>
  <si>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</si>
  <si>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</si>
  <si>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</si>
  <si>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</si>
  <si>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</si>
  <si>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</si>
  <si>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</si>
  <si>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</si>
  <si>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</si>
  <si>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</si>
  <si>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</si>
  <si>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</si>
  <si>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</si>
  <si>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</si>
  <si>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</si>
  <si>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</si>
  <si>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</si>
  <si>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</si>
  <si>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</si>
  <si>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</si>
  <si>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</si>
  <si>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</si>
  <si>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</si>
  <si>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</si>
  <si>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</si>
  <si>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</si>
  <si>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</si>
  <si>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</si>
  <si>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</si>
  <si>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</si>
  <si>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</si>
  <si>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</si>
  <si>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</si>
  <si>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</si>
  <si>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</si>
  <si>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</si>
  <si>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</si>
  <si>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</si>
  <si>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</si>
  <si>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</si>
  <si>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</si>
  <si>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</si>
  <si>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</si>
  <si>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</si>
  <si>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</si>
  <si>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</si>
  <si>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</si>
  <si>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</si>
  <si>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</si>
  <si>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</si>
  <si>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</si>
  <si>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</si>
  <si>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</si>
  <si>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</si>
  <si>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</si>
  <si>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</si>
  <si>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</si>
  <si>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</si>
  <si>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</si>
  <si>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</si>
  <si>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</si>
  <si>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</si>
  <si>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</si>
  <si>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</si>
  <si>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</si>
  <si>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</si>
  <si>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</si>
  <si>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</si>
  <si>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</si>
  <si>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</si>
  <si>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</si>
  <si>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</si>
  <si>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</si>
  <si>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</si>
  <si>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</si>
  <si>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</si>
  <si>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</si>
  <si>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</si>
  <si>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</si>
  <si>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</si>
  <si>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</si>
  <si>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</si>
  <si>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</si>
  <si>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</si>
  <si>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</si>
  <si>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</si>
  <si>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</si>
  <si>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</si>
  <si>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</si>
  <si>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</si>
  <si>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</si>
  <si>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</si>
  <si>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</si>
  <si>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</si>
  <si>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</si>
  <si>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</si>
  <si>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</si>
  <si>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</si>
  <si>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</si>
  <si>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</si>
  <si>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</si>
  <si>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</si>
  <si>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</si>
  <si>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</si>
  <si>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</si>
  <si>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</si>
  <si>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</si>
  <si>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</si>
  <si>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</si>
  <si>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</si>
  <si>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</si>
  <si>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</si>
  <si>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</si>
  <si>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</si>
  <si>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</si>
  <si>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</si>
  <si>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</si>
  <si>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</si>
  <si>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</si>
  <si>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</si>
  <si>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</si>
  <si>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</si>
  <si>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</si>
  <si>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</si>
  <si>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</si>
  <si>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</si>
  <si>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</si>
  <si>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</si>
  <si>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</si>
  <si>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</si>
  <si>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</si>
  <si>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</si>
  <si>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</si>
  <si>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</si>
  <si>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</si>
  <si>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</si>
  <si>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</si>
  <si>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</si>
  <si>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</si>
  <si>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</si>
  <si>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</si>
  <si>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</si>
  <si>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</si>
  <si>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</si>
  <si>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</si>
  <si>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</si>
  <si>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</si>
  <si>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</si>
  <si>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</si>
  <si>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</si>
  <si>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</si>
  <si>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</si>
  <si>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</si>
  <si>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</si>
  <si>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</si>
  <si>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</si>
  <si>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</si>
  <si>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</si>
  <si>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</si>
  <si>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</si>
  <si>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</si>
  <si>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</si>
  <si>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</si>
  <si>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</si>
  <si>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</si>
  <si>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</si>
  <si>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</si>
  <si>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</si>
  <si>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</si>
  <si>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</si>
  <si>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</si>
  <si>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</si>
  <si>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</si>
  <si>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</si>
  <si>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</si>
  <si>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</si>
  <si>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</si>
  <si>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</si>
  <si>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</si>
  <si>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</si>
  <si>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</si>
  <si>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</si>
  <si>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</si>
  <si>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</si>
  <si>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</si>
  <si>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</si>
  <si>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</si>
  <si>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</si>
  <si>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</si>
  <si>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</si>
  <si>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</si>
  <si>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</si>
  <si>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</si>
  <si>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</si>
  <si>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</si>
  <si>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</si>
  <si>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</si>
  <si>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</si>
  <si>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</si>
  <si>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</si>
  <si>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</si>
  <si>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</si>
  <si>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</si>
  <si>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</si>
  <si>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</si>
  <si>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</si>
  <si>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</si>
  <si>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</si>
  <si>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</si>
  <si>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</si>
  <si>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</si>
  <si>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</si>
  <si>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</si>
  <si>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</si>
  <si>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</si>
  <si>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</si>
  <si>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</si>
  <si>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</si>
  <si>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</si>
  <si>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</si>
  <si>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</si>
  <si>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</si>
  <si>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</si>
  <si>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</si>
  <si>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</si>
  <si>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</si>
  <si>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</si>
  <si>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</si>
  <si>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</si>
  <si>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</si>
  <si>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</si>
  <si>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</si>
  <si>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</si>
  <si>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</si>
  <si>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</si>
  <si>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</si>
  <si>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</si>
  <si>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</si>
  <si>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</si>
  <si>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</si>
  <si>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</si>
  <si>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</si>
  <si>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</si>
  <si>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</si>
  <si>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</si>
  <si>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</si>
  <si>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</si>
  <si>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</si>
  <si>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</si>
  <si>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</si>
  <si>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</si>
  <si>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</si>
  <si>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</si>
  <si>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</si>
  <si>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</si>
  <si>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</si>
  <si>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</si>
  <si>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</si>
  <si>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</si>
  <si>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</si>
  <si>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</si>
  <si>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</si>
  <si>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</si>
  <si>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</si>
  <si>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</si>
  <si>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</si>
  <si>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</si>
  <si>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</si>
  <si>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</si>
  <si>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</si>
  <si>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</si>
  <si>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</si>
  <si>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</si>
  <si>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</si>
  <si>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</si>
  <si>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</si>
  <si>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</si>
  <si>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</si>
  <si>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</si>
  <si>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</si>
  <si>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</si>
  <si>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</si>
  <si>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</si>
  <si>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</si>
  <si>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</si>
  <si>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</si>
  <si>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</si>
  <si>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</si>
  <si>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</si>
  <si>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</si>
  <si>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</si>
  <si>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</si>
  <si>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</si>
  <si>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</si>
  <si>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</si>
  <si>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</si>
  <si>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</si>
  <si>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</si>
  <si>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</si>
  <si>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</si>
  <si>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</si>
  <si>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</si>
  <si>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</si>
  <si>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</si>
  <si>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</si>
  <si>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</si>
  <si>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</si>
  <si>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</si>
  <si>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</si>
  <si>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</si>
  <si>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</si>
  <si>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</si>
  <si>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</si>
  <si>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</si>
  <si>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</si>
  <si>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</si>
  <si>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</si>
  <si>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</si>
  <si>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</si>
  <si>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</si>
  <si>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</si>
  <si>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</si>
  <si>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</si>
  <si>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</si>
  <si>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</si>
  <si>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</si>
  <si>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</si>
  <si>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</si>
  <si>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</si>
  <si>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</si>
  <si>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</si>
  <si>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</si>
  <si>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</si>
  <si>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</si>
  <si>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</si>
  <si>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</si>
  <si>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</si>
  <si>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</si>
  <si>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</si>
  <si>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</si>
  <si>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</si>
  <si>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</si>
  <si>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</si>
  <si>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</si>
  <si>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</si>
  <si>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</si>
  <si>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</si>
  <si>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</si>
  <si>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</si>
  <si>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</si>
  <si>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</si>
  <si>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</si>
  <si>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</si>
  <si>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</si>
  <si>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</si>
  <si>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</si>
  <si>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</si>
  <si>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</si>
  <si>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</si>
  <si>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</si>
  <si>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</si>
  <si>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</si>
  <si>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</si>
  <si>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</si>
  <si>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</si>
  <si>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</si>
  <si>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</si>
  <si>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</si>
  <si>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</si>
  <si>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</si>
  <si>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</si>
  <si>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</si>
  <si>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</si>
  <si>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</si>
  <si>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</si>
  <si>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</si>
  <si>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</si>
  <si>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</si>
  <si>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</si>
  <si>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</si>
  <si>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</si>
  <si>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</si>
  <si>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</si>
  <si>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</si>
  <si>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</si>
  <si>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</si>
  <si>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</si>
  <si>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</si>
  <si>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</si>
  <si>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</si>
  <si>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</si>
  <si>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</si>
  <si>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</si>
  <si>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</si>
  <si>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</si>
  <si>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</si>
  <si>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</si>
  <si>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</si>
  <si>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</si>
  <si>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</si>
  <si>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</si>
  <si>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</si>
  <si>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</si>
  <si>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</si>
  <si>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</si>
  <si>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</si>
  <si>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</si>
  <si>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</si>
  <si>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</si>
  <si>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</si>
  <si>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</si>
  <si>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</si>
  <si>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</si>
  <si>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</si>
  <si>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</si>
  <si>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</si>
  <si>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</si>
  <si>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</si>
  <si>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</si>
  <si>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</si>
  <si>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</si>
  <si>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</si>
  <si>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</si>
  <si>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</si>
  <si>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</si>
  <si>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</si>
  <si>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</si>
  <si>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</si>
  <si>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</si>
  <si>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</si>
  <si>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</si>
  <si>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</si>
  <si>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</si>
  <si>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</si>
  <si>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</si>
  <si>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</si>
  <si>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</si>
  <si>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</si>
  <si>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</si>
  <si>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</si>
  <si>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</si>
  <si>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</si>
  <si>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</si>
  <si>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</si>
  <si>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</si>
  <si>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</si>
  <si>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</si>
  <si>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</si>
  <si>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</si>
  <si>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Randolph</t>
  </si>
  <si>
    <t>Career Center of Southern Illinois</t>
  </si>
  <si>
    <t>Red Bud</t>
  </si>
  <si>
    <t>6137 Beck Road</t>
  </si>
  <si>
    <t xml:space="preserve">IL </t>
  </si>
  <si>
    <t>Mark Stuart</t>
  </si>
  <si>
    <t>Kelton Davis</t>
  </si>
  <si>
    <t>mstuart@gotoccsi.org</t>
  </si>
  <si>
    <t>kdavis@oe45.org</t>
  </si>
  <si>
    <t>618-473-2222</t>
  </si>
  <si>
    <t>618-473-2292</t>
  </si>
  <si>
    <t>618-939-5650</t>
  </si>
  <si>
    <t>618-939-5332</t>
  </si>
  <si>
    <t xml:space="preserve">Scheffel Boyle </t>
  </si>
  <si>
    <t>Dale Holtmann</t>
  </si>
  <si>
    <t xml:space="preserve">222 East Main Street </t>
  </si>
  <si>
    <t>Bellleville</t>
  </si>
  <si>
    <t>618-277-8100</t>
  </si>
  <si>
    <t>618-277-9307</t>
  </si>
  <si>
    <t>dale.holtmann@scheffelboyle.com</t>
  </si>
  <si>
    <t>x</t>
  </si>
  <si>
    <t>Funding</t>
  </si>
  <si>
    <t>Chester School District</t>
  </si>
  <si>
    <t>Chester School District, Columbia CUSD #4, con't below</t>
  </si>
  <si>
    <t xml:space="preserve">line 31 Voc Ed Coop - New Athens School District, Red Bud School District, Sparta School District, Valmeyer School District, and Waterloo School District. </t>
  </si>
  <si>
    <t xml:space="preserve">Chester School District, Columbia CUSD #4, con't below </t>
  </si>
  <si>
    <t xml:space="preserve">line 32 All Other Joint/Coop Agreements - Dupo School District, Marissa School District, Freeburg School District, New Athens School District, Red Bud School District, Sparta School District, Steelville School District, </t>
  </si>
  <si>
    <t xml:space="preserve">                                                                            Valmeyer School District, Waterloo School District </t>
  </si>
  <si>
    <t>Page 10/Fund 10/Line 74/Acct1690 - $8960 Food Services</t>
  </si>
  <si>
    <t>Page 10/Fund 10/Line 87/Acct 1819 - $57,984 (Opt Ed- Rentals $2612, CNA Textbook- Sales $1440, and LPN Textbook-Sales $53,932)</t>
  </si>
  <si>
    <t>Page 11/Fund 10/Line 107/Acct 1999 - $70,322 (Red Brick Rent/Meal Reimbursement $24,021, VOC Instructor Salary Reimbursement $37,783, E-Rate Reimbursement $6389, and Other Revenue $2128)</t>
  </si>
  <si>
    <t xml:space="preserve">Page 14/Fund 10/ Line 272/Acct 4999 – Student Financial Aid from Federal Sources (Pell Grant $488,744 and Direct Student Loan $783,797) </t>
  </si>
  <si>
    <t>The accompanying Schedule of Expenditures of Federal Awards includes the federal grant activity of the Career Center of Southern Illinois and is presented on the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</si>
  <si>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N/A</t>
  </si>
  <si>
    <t xml:space="preserve">No </t>
  </si>
  <si>
    <t>U.S. Department of Agriculture</t>
  </si>
  <si>
    <t xml:space="preserve">Passed Through IL State Board Of Education (ISBE): </t>
  </si>
  <si>
    <t xml:space="preserve">   National School Breakfast</t>
  </si>
  <si>
    <t xml:space="preserve">   National School Lunch</t>
  </si>
  <si>
    <t xml:space="preserve">   Commodity Credit</t>
  </si>
  <si>
    <t xml:space="preserve">TOTAL U.S. DEPARTMENT OF AGRICULTURE </t>
  </si>
  <si>
    <t>18-4220</t>
  </si>
  <si>
    <t>17-4220</t>
  </si>
  <si>
    <t>16-4220</t>
  </si>
  <si>
    <t>18-4210</t>
  </si>
  <si>
    <t>17-4210</t>
  </si>
  <si>
    <t>17-4250</t>
  </si>
  <si>
    <t xml:space="preserve">U.S. Department of Labor </t>
  </si>
  <si>
    <t xml:space="preserve">Passed Through St. Clair Cty Intrgvermntal Grant Office &amp; Madison Cty Emplymnt &amp; Training Dept. </t>
  </si>
  <si>
    <t xml:space="preserve">   W.I.A</t>
  </si>
  <si>
    <t xml:space="preserve">   W.I.A Refunds to Pass Through Agencies</t>
  </si>
  <si>
    <t>TOTAL U.S. DEPARTMENT OF LABOR</t>
  </si>
  <si>
    <t xml:space="preserve">U.S. Department of Education </t>
  </si>
  <si>
    <t xml:space="preserve">   Passed Through IL State Board of Education and Oakw Regional Vocational System: </t>
  </si>
  <si>
    <t xml:space="preserve">   Carl Perkins Title IIC</t>
  </si>
  <si>
    <t xml:space="preserve">   Passed Through TOE - Monroe &amp; Randolph County </t>
  </si>
  <si>
    <t xml:space="preserve">   Title II - Teacher Quality</t>
  </si>
  <si>
    <t xml:space="preserve">   TOTAL PASS THROUGH</t>
  </si>
  <si>
    <t xml:space="preserve">Direct </t>
  </si>
  <si>
    <t xml:space="preserve">   Student Financial Assistance Cluster: </t>
  </si>
  <si>
    <t xml:space="preserve">   Pell Grants (M)</t>
  </si>
  <si>
    <t xml:space="preserve">   Direct Student Loan (M) </t>
  </si>
  <si>
    <t xml:space="preserve">   Total Student Financial Assistance Cluster: </t>
  </si>
  <si>
    <t xml:space="preserve">   TOTAL DIRECT </t>
  </si>
  <si>
    <t xml:space="preserve">   TOTAL U.S. DEPARTMENT OF EDUCATION</t>
  </si>
  <si>
    <t xml:space="preserve">TOTAL FEDERAL AWARDS </t>
  </si>
  <si>
    <t xml:space="preserve">Nonmonetary assistance is reported in the schedule at the fair market value of the </t>
  </si>
  <si>
    <t>commodities received and disbursed</t>
  </si>
  <si>
    <t>Unmodified</t>
  </si>
  <si>
    <t xml:space="preserve">Direct Student Loans </t>
  </si>
  <si>
    <t xml:space="preserve">Pell Grant </t>
  </si>
  <si>
    <t>None</t>
  </si>
  <si>
    <t>065-026956</t>
  </si>
  <si>
    <t>Scheffel Boyle</t>
  </si>
  <si>
    <t>Education-Building Maintenance-Building contractual</t>
  </si>
  <si>
    <t>10-2540-314</t>
  </si>
  <si>
    <t>Crown Linen Service</t>
  </si>
  <si>
    <t>Education-Board of Ed Prof services</t>
  </si>
  <si>
    <t>Waterloo ROE #45</t>
  </si>
  <si>
    <t>Education-Board of Education-Audit</t>
  </si>
  <si>
    <t>10-2310-317</t>
  </si>
  <si>
    <t>Schorb and Schmersal</t>
  </si>
  <si>
    <t>Education-BuildingRepairs and Maintenance</t>
  </si>
  <si>
    <t>Tyco Simplex Grinnel</t>
  </si>
  <si>
    <t>10-2540-323</t>
  </si>
  <si>
    <t>10-2300-300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</si>
</sst>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77"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1" t="s">
        <v>425</v>
      </c>
      <c r="J1" s="2002"/>
      <c r="K1" s="2002"/>
      <c r="L1" s="2002"/>
      <c r="M1" s="2002"/>
      <c r="N1" s="2002"/>
      <c r="O1" s="2002"/>
      <c r="P1" s="2002"/>
      <c r="Q1" s="2002"/>
      <c r="R1" s="2002"/>
      <c r="S1" s="2002"/>
    </row>
    <row r="2" spans="1:28" ht="12" customHeight="1" x14ac:dyDescent="0.2">
      <c r="A2" s="47" t="s">
        <v>1684</v>
      </c>
      <c r="D2" s="48"/>
      <c r="I2" s="2003" t="s">
        <v>1036</v>
      </c>
      <c r="J2" s="2002"/>
      <c r="K2" s="2002"/>
      <c r="L2" s="2002"/>
      <c r="M2" s="2002"/>
      <c r="N2" s="2002"/>
      <c r="O2" s="2002"/>
      <c r="P2" s="2002"/>
      <c r="Q2" s="2002"/>
      <c r="R2" s="2002"/>
      <c r="S2" s="2002"/>
    </row>
    <row r="3" spans="1:28" ht="12" customHeight="1" x14ac:dyDescent="0.2">
      <c r="A3" s="155" t="s">
        <v>1685</v>
      </c>
      <c r="B3" s="156"/>
      <c r="C3" s="156"/>
      <c r="D3" s="157"/>
      <c r="I3" s="2003" t="s">
        <v>54</v>
      </c>
      <c r="J3" s="2002"/>
      <c r="K3" s="2002"/>
      <c r="L3" s="2002"/>
      <c r="M3" s="2002"/>
      <c r="N3" s="2002"/>
      <c r="O3" s="2002"/>
      <c r="P3" s="2002"/>
      <c r="Q3" s="2002"/>
      <c r="R3" s="2002"/>
      <c r="S3" s="2002"/>
    </row>
    <row r="4" spans="1:28" ht="12" customHeight="1" x14ac:dyDescent="0.2">
      <c r="A4" s="37"/>
      <c r="I4" s="2003" t="s">
        <v>545</v>
      </c>
      <c r="J4" s="2002"/>
      <c r="K4" s="2002"/>
      <c r="L4" s="2002"/>
      <c r="M4" s="2002"/>
      <c r="N4" s="2002"/>
      <c r="O4" s="2002"/>
      <c r="P4" s="2002"/>
      <c r="Q4" s="2002"/>
      <c r="R4" s="2002"/>
      <c r="S4" s="2002"/>
    </row>
    <row r="5" spans="1:28" ht="14.1" customHeight="1" x14ac:dyDescent="0.2">
      <c r="B5" s="104"/>
      <c r="C5" s="26" t="s">
        <v>966</v>
      </c>
      <c r="D5" s="84"/>
      <c r="E5" s="84"/>
      <c r="H5" s="38"/>
      <c r="I5" s="2011" t="s">
        <v>701</v>
      </c>
      <c r="J5" s="2010"/>
      <c r="K5" s="2010"/>
      <c r="L5" s="2010"/>
      <c r="M5" s="2010"/>
      <c r="N5" s="2010"/>
      <c r="O5" s="2010"/>
      <c r="P5" s="2010"/>
      <c r="Q5" s="2010"/>
      <c r="R5" s="2010"/>
      <c r="S5" s="2010"/>
    </row>
    <row r="6" spans="1:28" ht="14.1" customHeight="1" x14ac:dyDescent="0.2">
      <c r="B6" s="104" t="s">
        <v>2076</v>
      </c>
      <c r="C6" s="26" t="s">
        <v>967</v>
      </c>
      <c r="D6" s="84"/>
      <c r="E6" s="84"/>
      <c r="I6" s="2009" t="s">
        <v>938</v>
      </c>
      <c r="J6" s="2010"/>
      <c r="K6" s="2010"/>
      <c r="L6" s="2010"/>
      <c r="M6" s="2010"/>
      <c r="N6" s="2010"/>
      <c r="O6" s="2010"/>
      <c r="P6" s="2010"/>
      <c r="Q6" s="2010"/>
      <c r="R6" s="2010"/>
      <c r="S6" s="2010"/>
    </row>
    <row r="7" spans="1:28" ht="12.2" customHeight="1" x14ac:dyDescent="0.2">
      <c r="I7" s="2004">
        <v>43281</v>
      </c>
      <c r="J7" s="2005"/>
      <c r="K7" s="2005"/>
      <c r="L7" s="2005"/>
      <c r="M7" s="2005"/>
      <c r="N7" s="2005"/>
      <c r="O7" s="2005"/>
      <c r="P7" s="2005"/>
      <c r="Q7" s="2005"/>
      <c r="R7" s="2005"/>
      <c r="S7" s="200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6" t="s">
        <v>695</v>
      </c>
      <c r="J9" s="2007"/>
      <c r="K9" s="2007"/>
      <c r="L9" s="2007"/>
      <c r="M9" s="2007"/>
      <c r="N9" s="2007"/>
      <c r="O9" s="2007"/>
      <c r="P9" s="2007"/>
      <c r="Q9" s="2007"/>
      <c r="R9" s="2007"/>
      <c r="S9" s="2008"/>
      <c r="T9" s="2022" t="s">
        <v>554</v>
      </c>
      <c r="U9" s="2023"/>
      <c r="V9" s="2023"/>
      <c r="W9" s="2023"/>
      <c r="X9" s="2023"/>
      <c r="Y9" s="2023"/>
      <c r="Z9" s="2023"/>
      <c r="AA9" s="2024"/>
    </row>
    <row r="10" spans="1:28" ht="13.5" customHeight="1" x14ac:dyDescent="0.2">
      <c r="A10" s="2029" t="s">
        <v>696</v>
      </c>
      <c r="B10" s="2030"/>
      <c r="C10" s="2030"/>
      <c r="D10" s="2030"/>
      <c r="E10" s="2030"/>
      <c r="F10" s="2030"/>
      <c r="G10" s="2030"/>
      <c r="H10" s="2031"/>
      <c r="I10" s="29"/>
      <c r="J10" s="30"/>
      <c r="K10" s="28"/>
      <c r="R10" s="30"/>
      <c r="S10" s="30"/>
      <c r="T10" s="2025"/>
      <c r="U10" s="2010"/>
      <c r="V10" s="2010"/>
      <c r="W10" s="2010"/>
      <c r="X10" s="2010"/>
      <c r="Y10" s="2010"/>
      <c r="Z10" s="2010"/>
      <c r="AA10" s="2016"/>
    </row>
    <row r="11" spans="1:28" ht="14.25" customHeight="1" x14ac:dyDescent="0.2">
      <c r="A11" s="2032" t="s">
        <v>1012</v>
      </c>
      <c r="B11" s="2033"/>
      <c r="C11" s="2033"/>
      <c r="D11" s="2033"/>
      <c r="E11" s="2033"/>
      <c r="F11" s="2033"/>
      <c r="G11" s="2033"/>
      <c r="H11" s="2034"/>
      <c r="I11" s="27"/>
      <c r="J11" s="74"/>
      <c r="K11" s="27"/>
      <c r="O11" s="148"/>
      <c r="P11" s="100" t="s">
        <v>210</v>
      </c>
      <c r="Q11" s="30"/>
      <c r="R11" s="28"/>
      <c r="S11" s="27"/>
      <c r="T11" s="2026"/>
      <c r="U11" s="2027"/>
      <c r="V11" s="2027"/>
      <c r="W11" s="2027"/>
      <c r="X11" s="2027"/>
      <c r="Y11" s="2027"/>
      <c r="Z11" s="2027"/>
      <c r="AA11" s="2028"/>
    </row>
    <row r="12" spans="1:28" ht="13.5" customHeight="1" x14ac:dyDescent="0.2">
      <c r="A12" s="85" t="s">
        <v>982</v>
      </c>
      <c r="B12" s="76"/>
      <c r="C12" s="76"/>
      <c r="D12" s="76"/>
      <c r="E12" s="76"/>
      <c r="F12" s="76"/>
      <c r="G12" s="76"/>
      <c r="H12" s="53"/>
      <c r="I12" s="29"/>
      <c r="J12" s="30"/>
      <c r="K12" s="28"/>
      <c r="O12" s="149" t="s">
        <v>2076</v>
      </c>
      <c r="P12" s="100" t="s">
        <v>211</v>
      </c>
      <c r="Q12" s="74"/>
      <c r="R12" s="30"/>
      <c r="S12" s="30"/>
      <c r="T12" s="85" t="s">
        <v>283</v>
      </c>
      <c r="U12" s="51"/>
      <c r="V12" s="51"/>
      <c r="W12" s="51"/>
      <c r="X12" s="51"/>
      <c r="Y12" s="45"/>
      <c r="Z12" s="45"/>
      <c r="AA12" s="46"/>
    </row>
    <row r="13" spans="1:28" ht="13.5" customHeight="1" x14ac:dyDescent="0.2">
      <c r="A13" s="2036">
        <v>45000000040</v>
      </c>
      <c r="B13" s="2037"/>
      <c r="C13" s="2037"/>
      <c r="D13" s="2037"/>
      <c r="E13" s="2037"/>
      <c r="F13" s="2037"/>
      <c r="G13" s="2037"/>
      <c r="H13" s="2038"/>
      <c r="I13" s="31"/>
      <c r="J13" s="30"/>
      <c r="K13" s="28"/>
      <c r="L13" s="30"/>
      <c r="M13" s="30"/>
      <c r="N13" s="30"/>
      <c r="O13" s="30"/>
      <c r="P13" s="30"/>
      <c r="Q13" s="30"/>
      <c r="R13" s="30"/>
      <c r="S13" s="30"/>
      <c r="T13" s="2041" t="s">
        <v>2090</v>
      </c>
      <c r="U13" s="2042"/>
      <c r="V13" s="2042"/>
      <c r="W13" s="2042"/>
      <c r="X13" s="2042"/>
      <c r="Y13" s="2043"/>
      <c r="Z13" s="2043"/>
      <c r="AA13" s="204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5" t="s">
        <v>2077</v>
      </c>
      <c r="B15" s="2039"/>
      <c r="C15" s="2039"/>
      <c r="D15" s="2039"/>
      <c r="E15" s="2039"/>
      <c r="F15" s="2039"/>
      <c r="G15" s="2039"/>
      <c r="H15" s="2040"/>
      <c r="T15" s="2045" t="s">
        <v>2091</v>
      </c>
      <c r="U15" s="1989"/>
      <c r="V15" s="1989"/>
      <c r="W15" s="1989"/>
      <c r="X15" s="1989"/>
      <c r="Y15" s="2046"/>
      <c r="Z15" s="2046"/>
      <c r="AA15" s="204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5" t="s">
        <v>2078</v>
      </c>
      <c r="B17" s="1996"/>
      <c r="C17" s="1996"/>
      <c r="D17" s="1996"/>
      <c r="E17" s="1996"/>
      <c r="F17" s="1996"/>
      <c r="G17" s="1996"/>
      <c r="H17" s="2021"/>
      <c r="T17" s="2052" t="s">
        <v>2092</v>
      </c>
      <c r="U17" s="2053"/>
      <c r="V17" s="2053"/>
      <c r="W17" s="2053"/>
      <c r="X17" s="2053"/>
      <c r="Y17" s="2053"/>
      <c r="Z17" s="2053"/>
      <c r="AA17" s="2054"/>
    </row>
    <row r="18" spans="1:27" ht="13.5" customHeight="1" x14ac:dyDescent="0.2">
      <c r="A18" s="85" t="s">
        <v>551</v>
      </c>
      <c r="B18" s="76"/>
      <c r="C18" s="72"/>
      <c r="D18" s="76"/>
      <c r="E18" s="76"/>
      <c r="F18" s="76"/>
      <c r="G18" s="76"/>
      <c r="H18" s="56"/>
      <c r="I18" s="2020" t="s">
        <v>697</v>
      </c>
      <c r="J18" s="1971"/>
      <c r="K18" s="1971"/>
      <c r="L18" s="1971"/>
      <c r="M18" s="1971"/>
      <c r="N18" s="1971"/>
      <c r="O18" s="1971"/>
      <c r="P18" s="1971"/>
      <c r="Q18" s="1971"/>
      <c r="R18" s="1971"/>
      <c r="S18" s="1972"/>
      <c r="T18" s="85" t="s">
        <v>735</v>
      </c>
      <c r="U18" s="51"/>
      <c r="V18" s="72"/>
      <c r="W18" s="50"/>
      <c r="X18" s="85" t="s">
        <v>284</v>
      </c>
      <c r="Y18" s="81"/>
      <c r="Z18" s="159" t="s">
        <v>698</v>
      </c>
      <c r="AA18" s="46"/>
    </row>
    <row r="19" spans="1:27" ht="13.5" customHeight="1" x14ac:dyDescent="0.2">
      <c r="A19" s="2035" t="s">
        <v>2080</v>
      </c>
      <c r="B19" s="1981"/>
      <c r="C19" s="1981"/>
      <c r="D19" s="1981"/>
      <c r="E19" s="1981"/>
      <c r="F19" s="1981"/>
      <c r="G19" s="1981"/>
      <c r="H19" s="1961"/>
      <c r="I19" s="30"/>
      <c r="J19" s="99"/>
      <c r="K19" s="40"/>
      <c r="L19" s="38"/>
      <c r="M19" s="112" t="s">
        <v>333</v>
      </c>
      <c r="P19" s="27"/>
      <c r="Q19" s="27"/>
      <c r="R19" s="27"/>
      <c r="S19" s="31"/>
      <c r="T19" s="2035" t="s">
        <v>2093</v>
      </c>
      <c r="U19" s="1960"/>
      <c r="V19" s="1960"/>
      <c r="W19" s="1961"/>
      <c r="X19" s="2050" t="s">
        <v>2081</v>
      </c>
      <c r="Y19" s="2051"/>
      <c r="Z19" s="2048">
        <v>62220</v>
      </c>
      <c r="AA19" s="204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9" t="s">
        <v>2079</v>
      </c>
      <c r="B21" s="1960"/>
      <c r="C21" s="1960"/>
      <c r="D21" s="1960"/>
      <c r="E21" s="1960"/>
      <c r="F21" s="1960"/>
      <c r="G21" s="1960"/>
      <c r="H21" s="1961"/>
      <c r="I21" s="2015" t="s">
        <v>699</v>
      </c>
      <c r="J21" s="2010"/>
      <c r="K21" s="2010"/>
      <c r="L21" s="2010"/>
      <c r="M21" s="2010"/>
      <c r="N21" s="2010"/>
      <c r="O21" s="2010"/>
      <c r="P21" s="2010"/>
      <c r="Q21" s="2010"/>
      <c r="R21" s="2010"/>
      <c r="S21" s="2016"/>
      <c r="T21" s="2059" t="s">
        <v>2094</v>
      </c>
      <c r="U21" s="2060"/>
      <c r="V21" s="2060"/>
      <c r="W21" s="2060"/>
      <c r="X21" s="2065" t="s">
        <v>2095</v>
      </c>
      <c r="Y21" s="2066"/>
      <c r="Z21" s="2066"/>
      <c r="AA21" s="2067"/>
    </row>
    <row r="22" spans="1:27" ht="13.5" customHeight="1" x14ac:dyDescent="0.2">
      <c r="A22" s="87" t="s">
        <v>552</v>
      </c>
      <c r="B22" s="59"/>
      <c r="C22" s="59"/>
      <c r="D22" s="59"/>
      <c r="E22" s="59"/>
      <c r="F22" s="59"/>
      <c r="G22" s="59"/>
      <c r="H22" s="60"/>
      <c r="I22" s="2017" t="s">
        <v>1504</v>
      </c>
      <c r="J22" s="2018"/>
      <c r="K22" s="2018"/>
      <c r="L22" s="2018"/>
      <c r="M22" s="2018"/>
      <c r="N22" s="2018"/>
      <c r="O22" s="2018"/>
      <c r="P22" s="2018"/>
      <c r="Q22" s="2018"/>
      <c r="R22" s="2018"/>
      <c r="S22" s="2019"/>
      <c r="T22" s="85" t="s">
        <v>1596</v>
      </c>
      <c r="U22" s="51"/>
      <c r="V22" s="72"/>
      <c r="W22" s="51"/>
      <c r="X22" s="160" t="s">
        <v>1385</v>
      </c>
      <c r="Z22" s="45"/>
      <c r="AA22" s="46"/>
    </row>
    <row r="23" spans="1:27" ht="13.5" customHeight="1" x14ac:dyDescent="0.2">
      <c r="A23" s="2012"/>
      <c r="B23" s="2013"/>
      <c r="C23" s="2013"/>
      <c r="D23" s="2013"/>
      <c r="E23" s="2013"/>
      <c r="F23" s="2013"/>
      <c r="G23" s="2013"/>
      <c r="H23" s="2014"/>
      <c r="T23" s="1995" t="s">
        <v>2149</v>
      </c>
      <c r="U23" s="2058"/>
      <c r="V23" s="2058"/>
      <c r="W23" s="2058"/>
      <c r="X23" s="2062">
        <v>44469</v>
      </c>
      <c r="Y23" s="2063"/>
      <c r="Z23" s="2063"/>
      <c r="AA23" s="2064"/>
    </row>
    <row r="24" spans="1:27" ht="14.1" customHeight="1" x14ac:dyDescent="0.2">
      <c r="A24" s="88" t="s">
        <v>698</v>
      </c>
      <c r="B24" s="49"/>
      <c r="C24" s="49"/>
      <c r="D24" s="49"/>
      <c r="E24" s="49"/>
      <c r="F24" s="49"/>
      <c r="G24" s="49"/>
      <c r="H24" s="61"/>
      <c r="J24" s="1982" t="str">
        <f>IF(B5="x",IF(AUDITCHECK!D29="AFR form Incomplete.","",IF(AUDITCHECK!D29="Deficit reduction plan is required.","School District must complete a deficit reduction plan in the 2018-2019 Budget",)),"")</f>
        <v/>
      </c>
      <c r="K24" s="1982"/>
      <c r="L24" s="1982"/>
      <c r="M24" s="1982"/>
      <c r="N24" s="1982"/>
      <c r="O24" s="1982"/>
      <c r="P24" s="1982"/>
      <c r="Q24" s="1982"/>
      <c r="R24" s="1982"/>
      <c r="S24" s="1983"/>
      <c r="T24" s="105" t="s">
        <v>552</v>
      </c>
      <c r="U24" s="106"/>
      <c r="V24" s="106"/>
      <c r="W24" s="106"/>
      <c r="X24" s="107"/>
      <c r="Y24" s="107"/>
      <c r="Z24" s="107"/>
      <c r="AA24" s="108"/>
    </row>
    <row r="25" spans="1:27" ht="14.1" customHeight="1" x14ac:dyDescent="0.2">
      <c r="A25" s="1959">
        <v>62278</v>
      </c>
      <c r="B25" s="1960"/>
      <c r="C25" s="1960"/>
      <c r="D25" s="1960"/>
      <c r="E25" s="1960"/>
      <c r="F25" s="1960"/>
      <c r="G25" s="1960"/>
      <c r="H25" s="1961"/>
      <c r="I25" s="113"/>
      <c r="J25" s="1984"/>
      <c r="K25" s="1984"/>
      <c r="L25" s="1984"/>
      <c r="M25" s="1984"/>
      <c r="N25" s="1984"/>
      <c r="O25" s="1984"/>
      <c r="P25" s="1984"/>
      <c r="Q25" s="1984"/>
      <c r="R25" s="1984"/>
      <c r="S25" s="1985"/>
      <c r="T25" s="2055" t="s">
        <v>2096</v>
      </c>
      <c r="U25" s="2056"/>
      <c r="V25" s="2056"/>
      <c r="W25" s="2056"/>
      <c r="X25" s="2056"/>
      <c r="Y25" s="2056"/>
      <c r="Z25" s="2056"/>
      <c r="AA25" s="20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0" t="s">
        <v>1591</v>
      </c>
      <c r="J27" s="1971"/>
      <c r="K27" s="1971"/>
      <c r="L27" s="1971"/>
      <c r="M27" s="1971"/>
      <c r="N27" s="1971"/>
      <c r="O27" s="1971"/>
      <c r="P27" s="1971"/>
      <c r="Q27" s="1971"/>
      <c r="R27" s="1971"/>
      <c r="S27" s="197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2076</v>
      </c>
      <c r="F29" s="141" t="s">
        <v>1383</v>
      </c>
      <c r="G29" s="114"/>
      <c r="I29" s="54"/>
      <c r="J29" s="148" t="s">
        <v>2076</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2076</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2076</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2076</v>
      </c>
      <c r="C34" s="32" t="s">
        <v>563</v>
      </c>
      <c r="D34" s="31"/>
      <c r="E34" s="31"/>
      <c r="F34" s="31"/>
      <c r="G34" s="31"/>
      <c r="H34" s="31"/>
      <c r="I34" s="54"/>
      <c r="J34" s="83"/>
      <c r="L34" s="101"/>
      <c r="M34" s="93" t="s">
        <v>731</v>
      </c>
      <c r="N34" s="30"/>
      <c r="O34" s="30"/>
      <c r="P34" s="30"/>
      <c r="Q34" s="30"/>
      <c r="R34" s="30"/>
      <c r="S34" s="55"/>
      <c r="T34" s="30"/>
      <c r="U34" s="148" t="s">
        <v>2076</v>
      </c>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1"/>
      <c r="Q35" s="1960"/>
      <c r="R35" s="196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5" t="s">
        <v>2082</v>
      </c>
      <c r="B38" s="1996"/>
      <c r="C38" s="1996"/>
      <c r="D38" s="1996"/>
      <c r="E38" s="1996"/>
      <c r="F38" s="1960"/>
      <c r="G38" s="1960"/>
      <c r="H38" s="1961"/>
      <c r="I38" s="1988"/>
      <c r="J38" s="1989"/>
      <c r="K38" s="1989"/>
      <c r="L38" s="1989"/>
      <c r="M38" s="1989"/>
      <c r="N38" s="1989"/>
      <c r="O38" s="1989"/>
      <c r="P38" s="1990"/>
      <c r="Q38" s="1990"/>
      <c r="R38" s="1990"/>
      <c r="S38" s="1991"/>
      <c r="T38" s="2045" t="s">
        <v>2083</v>
      </c>
      <c r="U38" s="1989"/>
      <c r="V38" s="1989"/>
      <c r="W38" s="1989"/>
      <c r="X38" s="1990"/>
      <c r="Y38" s="1990"/>
      <c r="Z38" s="1990"/>
      <c r="AA38" s="1991"/>
    </row>
    <row r="39" spans="1:27" ht="12" customHeight="1" x14ac:dyDescent="0.2">
      <c r="A39" s="1965" t="s">
        <v>552</v>
      </c>
      <c r="B39" s="1966"/>
      <c r="C39" s="72"/>
      <c r="D39" s="69"/>
      <c r="E39" s="69"/>
      <c r="F39" s="79"/>
      <c r="G39" s="69"/>
      <c r="H39" s="56"/>
      <c r="I39" s="1965" t="s">
        <v>552</v>
      </c>
      <c r="J39" s="1966"/>
      <c r="K39" s="1966"/>
      <c r="L39" s="1966"/>
      <c r="M39" s="1966"/>
      <c r="N39" s="67"/>
      <c r="O39" s="72"/>
      <c r="P39" s="72"/>
      <c r="Q39" s="78"/>
      <c r="R39" s="72"/>
      <c r="S39" s="56"/>
      <c r="T39" s="72" t="s">
        <v>552</v>
      </c>
      <c r="U39" s="51"/>
      <c r="V39" s="72"/>
      <c r="W39" s="50"/>
      <c r="X39" s="78"/>
      <c r="Y39" s="45"/>
      <c r="Z39" s="45"/>
      <c r="AA39" s="46"/>
    </row>
    <row r="40" spans="1:27" ht="13.5" customHeight="1" x14ac:dyDescent="0.2">
      <c r="A40" s="1973" t="s">
        <v>2084</v>
      </c>
      <c r="B40" s="1974"/>
      <c r="C40" s="1975"/>
      <c r="D40" s="1975"/>
      <c r="E40" s="1975"/>
      <c r="F40" s="1976"/>
      <c r="G40" s="1976"/>
      <c r="H40" s="1977"/>
      <c r="I40" s="1998"/>
      <c r="J40" s="1999"/>
      <c r="K40" s="1999"/>
      <c r="L40" s="1999"/>
      <c r="M40" s="1999"/>
      <c r="N40" s="1999"/>
      <c r="O40" s="1999"/>
      <c r="P40" s="1999"/>
      <c r="Q40" s="1999"/>
      <c r="R40" s="1999"/>
      <c r="S40" s="2000"/>
      <c r="T40" s="1998" t="s">
        <v>2085</v>
      </c>
      <c r="U40" s="2061"/>
      <c r="V40" s="1999"/>
      <c r="W40" s="1999"/>
      <c r="X40" s="1999"/>
      <c r="Y40" s="1999"/>
      <c r="Z40" s="1999"/>
      <c r="AA40" s="200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7" t="s">
        <v>2086</v>
      </c>
      <c r="B42" s="1979"/>
      <c r="C42" s="1980"/>
      <c r="D42" s="1978" t="s">
        <v>2087</v>
      </c>
      <c r="E42" s="1979"/>
      <c r="F42" s="1979"/>
      <c r="G42" s="1979"/>
      <c r="H42" s="1980"/>
      <c r="I42" s="1962"/>
      <c r="J42" s="1963"/>
      <c r="K42" s="1963"/>
      <c r="L42" s="1963"/>
      <c r="M42" s="1963"/>
      <c r="N42" s="1963"/>
      <c r="O42" s="1964"/>
      <c r="P42" s="1997"/>
      <c r="Q42" s="1963"/>
      <c r="R42" s="1963"/>
      <c r="S42" s="1964"/>
      <c r="T42" s="1962" t="s">
        <v>2088</v>
      </c>
      <c r="U42" s="1963"/>
      <c r="V42" s="1963"/>
      <c r="W42" s="1964"/>
      <c r="X42" s="1997" t="s">
        <v>2089</v>
      </c>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2"/>
      <c r="B44" s="1993"/>
      <c r="C44" s="1993"/>
      <c r="D44" s="1993"/>
      <c r="E44" s="1993"/>
      <c r="F44" s="1993"/>
      <c r="G44" s="1993"/>
      <c r="H44" s="1994"/>
      <c r="I44" s="1967"/>
      <c r="J44" s="1968"/>
      <c r="K44" s="1968"/>
      <c r="L44" s="1968"/>
      <c r="M44" s="1968"/>
      <c r="N44" s="1968"/>
      <c r="O44" s="1968"/>
      <c r="P44" s="1968"/>
      <c r="Q44" s="1968"/>
      <c r="R44" s="1968"/>
      <c r="S44" s="1969"/>
      <c r="T44" s="1967"/>
      <c r="U44" s="1986"/>
      <c r="V44" s="1986"/>
      <c r="W44" s="1986"/>
      <c r="X44" s="1986"/>
      <c r="Y44" s="1986"/>
      <c r="Z44" s="1968"/>
      <c r="AA44" s="196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rintOptions horizontalCentered="1"/>
  <pageMargins left="0.32" right="0.02" top="0.6" bottom="0.52" header="0.19" footer="0.5"/>
  <pageSetup scale="75" firstPageNumber="4" orientation="landscape" useFirstPageNumber="1" r:id="rId3"/>
  <headerFooter scaleWithDoc="0">
    <oddFooter>&amp;LSee notes to financial statements.&amp;C1</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H12" sqref="H12"/>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1904</v>
      </c>
      <c r="B2" s="1550" t="s">
        <v>2036</v>
      </c>
      <c r="C2" s="715" t="s">
        <v>1909</v>
      </c>
      <c r="D2" s="715" t="s">
        <v>1910</v>
      </c>
      <c r="E2" s="715" t="s">
        <v>1911</v>
      </c>
      <c r="F2" s="715" t="s">
        <v>1912</v>
      </c>
    </row>
    <row r="3" spans="1:6" ht="12" customHeight="1" x14ac:dyDescent="0.2">
      <c r="A3" s="2202"/>
      <c r="B3" s="1547"/>
      <c r="C3" s="1548"/>
      <c r="D3" s="1549" t="s">
        <v>274</v>
      </c>
      <c r="E3" s="1548"/>
      <c r="F3" s="1549" t="s">
        <v>275</v>
      </c>
    </row>
    <row r="4" spans="1:6" ht="13.7" customHeight="1" x14ac:dyDescent="0.2">
      <c r="A4" s="716" t="s">
        <v>1217</v>
      </c>
      <c r="B4" s="1771">
        <f>'Revenues 9-14'!C5</f>
        <v>0</v>
      </c>
      <c r="C4" s="1546"/>
      <c r="D4" s="1774">
        <f>B4-C4</f>
        <v>0</v>
      </c>
      <c r="E4" s="1546"/>
      <c r="F4" s="1774">
        <f>E4-C4</f>
        <v>0</v>
      </c>
    </row>
    <row r="5" spans="1:6" ht="13.7" customHeight="1" x14ac:dyDescent="0.2">
      <c r="A5" s="716" t="s">
        <v>925</v>
      </c>
      <c r="B5" s="1772">
        <f>'Revenues 9-14'!D5</f>
        <v>0</v>
      </c>
      <c r="C5" s="585"/>
      <c r="D5" s="1775">
        <f t="shared" ref="D5:D18" si="0">B5-C5</f>
        <v>0</v>
      </c>
      <c r="E5" s="585"/>
      <c r="F5" s="1775">
        <f>E5-C5</f>
        <v>0</v>
      </c>
    </row>
    <row r="6" spans="1:6" ht="13.7" customHeight="1" x14ac:dyDescent="0.2">
      <c r="A6" s="716" t="s">
        <v>431</v>
      </c>
      <c r="B6" s="1772">
        <f>'Revenues 9-14'!E5</f>
        <v>0</v>
      </c>
      <c r="C6" s="585"/>
      <c r="D6" s="1775">
        <f t="shared" si="0"/>
        <v>0</v>
      </c>
      <c r="E6" s="585"/>
      <c r="F6" s="1775">
        <f t="shared" ref="F6:F18" si="1">E6-C6</f>
        <v>0</v>
      </c>
    </row>
    <row r="7" spans="1:6" ht="13.7" customHeight="1" x14ac:dyDescent="0.2">
      <c r="A7" s="716" t="s">
        <v>157</v>
      </c>
      <c r="B7" s="1772">
        <f>'Revenues 9-14'!F5</f>
        <v>0</v>
      </c>
      <c r="C7" s="585"/>
      <c r="D7" s="1775">
        <f t="shared" si="0"/>
        <v>0</v>
      </c>
      <c r="E7" s="585"/>
      <c r="F7" s="1775">
        <f t="shared" si="1"/>
        <v>0</v>
      </c>
    </row>
    <row r="8" spans="1:6" ht="13.7" customHeight="1" x14ac:dyDescent="0.2">
      <c r="A8" s="716" t="s">
        <v>1241</v>
      </c>
      <c r="B8" s="1772">
        <f>'Revenues 9-14'!G5</f>
        <v>0</v>
      </c>
      <c r="C8" s="585"/>
      <c r="D8" s="1775">
        <f t="shared" si="0"/>
        <v>0</v>
      </c>
      <c r="E8" s="585"/>
      <c r="F8" s="1775">
        <f t="shared" si="1"/>
        <v>0</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0</v>
      </c>
      <c r="C10" s="585"/>
      <c r="D10" s="1775">
        <f t="shared" si="0"/>
        <v>0</v>
      </c>
      <c r="E10" s="585"/>
      <c r="F10" s="1775">
        <f t="shared" si="1"/>
        <v>0</v>
      </c>
    </row>
    <row r="11" spans="1:6" x14ac:dyDescent="0.2">
      <c r="A11" s="716" t="s">
        <v>429</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0</v>
      </c>
      <c r="C14" s="585"/>
      <c r="D14" s="1775">
        <f t="shared" si="0"/>
        <v>0</v>
      </c>
      <c r="E14" s="585"/>
      <c r="F14" s="1775">
        <f t="shared" si="1"/>
        <v>0</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0</v>
      </c>
      <c r="C16" s="585"/>
      <c r="D16" s="1775">
        <f t="shared" si="0"/>
        <v>0</v>
      </c>
      <c r="E16" s="585"/>
      <c r="F16" s="1775">
        <f t="shared" si="1"/>
        <v>0</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0</v>
      </c>
      <c r="C19" s="1773">
        <f>SUM(C4:C18)</f>
        <v>0</v>
      </c>
      <c r="D19" s="1773">
        <f>SUM(D4:D18)</f>
        <v>0</v>
      </c>
      <c r="E19" s="1773">
        <f>SUM(E4:E18)</f>
        <v>0</v>
      </c>
      <c r="F19" s="1773">
        <f>SUM(F4:F18)</f>
        <v>0</v>
      </c>
    </row>
    <row r="20" spans="1:6" ht="13.5" thickTop="1" x14ac:dyDescent="0.2">
      <c r="B20" s="714"/>
      <c r="F20" s="717"/>
    </row>
    <row r="21" spans="1:6" x14ac:dyDescent="0.2">
      <c r="A21" s="718" t="s">
        <v>1914</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1" right="0.25" top="1" bottom="1" header="0.75" footer="0.5"/>
  <pageSetup scale="90" firstPageNumber="25" orientation="landscape" useFirstPageNumber="1" r:id="rId1"/>
  <headerFooter scaleWithDoc="0">
    <oddFooter>&amp;LSee notes to financial statements.&amp;C&amp;P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colorId="8" zoomScale="110" zoomScaleNormal="110" workbookViewId="0">
      <selection activeCell="I16" sqref="I16"/>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3" t="s">
        <v>650</v>
      </c>
      <c r="B1" s="2221"/>
      <c r="C1" s="722"/>
    </row>
    <row r="2" spans="1:7" ht="33.75" x14ac:dyDescent="0.2">
      <c r="A2" s="2228" t="s">
        <v>1904</v>
      </c>
      <c r="B2" s="2229"/>
      <c r="C2" s="1909" t="s">
        <v>2037</v>
      </c>
      <c r="D2" s="724" t="s">
        <v>2044</v>
      </c>
      <c r="E2" s="724" t="s">
        <v>2045</v>
      </c>
      <c r="F2" s="1909" t="s">
        <v>2038</v>
      </c>
    </row>
    <row r="3" spans="1:7" ht="15.75" customHeight="1" x14ac:dyDescent="0.2">
      <c r="A3" s="2230" t="s">
        <v>1176</v>
      </c>
      <c r="B3" s="2231"/>
      <c r="C3" s="2224"/>
      <c r="D3" s="2225"/>
      <c r="E3" s="2225"/>
      <c r="F3" s="2226"/>
    </row>
    <row r="4" spans="1:7" ht="12.75" customHeight="1" thickBot="1" x14ac:dyDescent="0.25">
      <c r="A4" s="2218" t="s">
        <v>651</v>
      </c>
      <c r="B4" s="2219"/>
      <c r="C4" s="581"/>
      <c r="D4" s="581"/>
      <c r="E4" s="581"/>
      <c r="F4" s="1777">
        <f>SUM(C4+D4)-E4</f>
        <v>0</v>
      </c>
    </row>
    <row r="5" spans="1:7" ht="15.75" customHeight="1" thickTop="1" x14ac:dyDescent="0.2">
      <c r="A5" s="2222" t="s">
        <v>1172</v>
      </c>
      <c r="B5" s="2217"/>
      <c r="C5" s="2211"/>
      <c r="D5" s="2212"/>
      <c r="E5" s="2212"/>
      <c r="F5" s="2213"/>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4" t="s">
        <v>652</v>
      </c>
      <c r="B15" s="2215"/>
      <c r="C15" s="1777">
        <f>SUM(C6:C14)</f>
        <v>0</v>
      </c>
      <c r="D15" s="1777">
        <f>SUM(D6:D14)</f>
        <v>0</v>
      </c>
      <c r="E15" s="1777">
        <f>SUM(E6:E14)</f>
        <v>0</v>
      </c>
      <c r="F15" s="1777">
        <f>SUM(F6:F14)</f>
        <v>0</v>
      </c>
      <c r="G15" s="552"/>
    </row>
    <row r="16" spans="1:7" s="202" customFormat="1" ht="15.75" customHeight="1" thickTop="1" x14ac:dyDescent="0.2">
      <c r="A16" s="2227" t="s">
        <v>1173</v>
      </c>
      <c r="B16" s="2217"/>
      <c r="C16" s="2211"/>
      <c r="D16" s="2212"/>
      <c r="E16" s="2212"/>
      <c r="F16" s="2213"/>
    </row>
    <row r="17" spans="1:11" ht="12.75" customHeight="1" thickBot="1" x14ac:dyDescent="0.25">
      <c r="A17" s="2209" t="s">
        <v>66</v>
      </c>
      <c r="B17" s="2210"/>
      <c r="C17" s="727"/>
      <c r="D17" s="585"/>
      <c r="E17" s="727"/>
      <c r="F17" s="1777">
        <f>SUM(C17+D17)-E17</f>
        <v>0</v>
      </c>
    </row>
    <row r="18" spans="1:11" ht="12.75" customHeight="1" thickTop="1" thickBot="1" x14ac:dyDescent="0.25">
      <c r="A18" s="2209" t="s">
        <v>6</v>
      </c>
      <c r="B18" s="2210"/>
      <c r="C18" s="727"/>
      <c r="D18" s="585"/>
      <c r="E18" s="727"/>
      <c r="F18" s="1777">
        <f>SUM(C18+D18)-E18</f>
        <v>0</v>
      </c>
    </row>
    <row r="19" spans="1:11" ht="12.75" customHeight="1" thickTop="1" thickBot="1" x14ac:dyDescent="0.25">
      <c r="A19" s="2209" t="s">
        <v>406</v>
      </c>
      <c r="B19" s="2210"/>
      <c r="C19" s="727"/>
      <c r="D19" s="585"/>
      <c r="E19" s="727"/>
      <c r="F19" s="1777">
        <f>SUM(C19+D19)-E19</f>
        <v>0</v>
      </c>
    </row>
    <row r="20" spans="1:11" ht="12.75" customHeight="1" thickTop="1" thickBot="1" x14ac:dyDescent="0.25">
      <c r="A20" s="2209" t="s">
        <v>468</v>
      </c>
      <c r="B20" s="2210"/>
      <c r="C20" s="727"/>
      <c r="D20" s="585"/>
      <c r="E20" s="727"/>
      <c r="F20" s="1777">
        <f>SUM(C20+D20)-E20</f>
        <v>0</v>
      </c>
    </row>
    <row r="21" spans="1:11" ht="14.25" thickTop="1" thickBot="1" x14ac:dyDescent="0.25">
      <c r="A21" s="2214" t="s">
        <v>653</v>
      </c>
      <c r="B21" s="2215"/>
      <c r="C21" s="1777">
        <f>SUM(C17:C20)</f>
        <v>0</v>
      </c>
      <c r="D21" s="1777">
        <f>SUM(D17:D20)</f>
        <v>0</v>
      </c>
      <c r="E21" s="1777">
        <f>SUM(E17:E20)</f>
        <v>0</v>
      </c>
      <c r="F21" s="1777">
        <f>SUM(F17:F20)</f>
        <v>0</v>
      </c>
      <c r="G21" s="552"/>
    </row>
    <row r="22" spans="1:11" ht="15.75" customHeight="1" thickTop="1" x14ac:dyDescent="0.2">
      <c r="A22" s="2216" t="s">
        <v>1174</v>
      </c>
      <c r="B22" s="2217"/>
      <c r="C22" s="2211"/>
      <c r="D22" s="2212"/>
      <c r="E22" s="2212"/>
      <c r="F22" s="2213"/>
    </row>
    <row r="23" spans="1:11" ht="13.5" thickBot="1" x14ac:dyDescent="0.25">
      <c r="A23" s="2218" t="s">
        <v>654</v>
      </c>
      <c r="B23" s="2219"/>
      <c r="C23" s="581"/>
      <c r="D23" s="581"/>
      <c r="E23" s="581"/>
      <c r="F23" s="1777">
        <f>SUM(C23+D23)-E23</f>
        <v>0</v>
      </c>
      <c r="G23" s="552"/>
    </row>
    <row r="24" spans="1:11" ht="15.75" customHeight="1" thickTop="1" x14ac:dyDescent="0.2">
      <c r="A24" s="2216" t="s">
        <v>1175</v>
      </c>
      <c r="B24" s="2217"/>
      <c r="C24" s="2211"/>
      <c r="D24" s="2212"/>
      <c r="E24" s="2212"/>
      <c r="F24" s="2213"/>
    </row>
    <row r="25" spans="1:11" ht="13.5" thickBot="1" x14ac:dyDescent="0.25">
      <c r="A25" s="2218" t="s">
        <v>655</v>
      </c>
      <c r="B25" s="2219"/>
      <c r="C25" s="581"/>
      <c r="D25" s="581"/>
      <c r="E25" s="581"/>
      <c r="F25" s="1777">
        <f>SUM(C25+D25)-E25</f>
        <v>0</v>
      </c>
      <c r="G25" s="552"/>
    </row>
    <row r="26" spans="1:11" ht="15.75" customHeight="1" thickTop="1" x14ac:dyDescent="0.2">
      <c r="A26" s="2222" t="s">
        <v>678</v>
      </c>
      <c r="B26" s="2217"/>
      <c r="C26" s="728"/>
      <c r="D26" s="728"/>
      <c r="E26" s="728"/>
      <c r="F26" s="729"/>
    </row>
    <row r="27" spans="1:11" ht="13.5" thickBot="1" x14ac:dyDescent="0.25">
      <c r="A27" s="2214" t="s">
        <v>1130</v>
      </c>
      <c r="B27" s="2215"/>
      <c r="C27" s="585"/>
      <c r="D27" s="585"/>
      <c r="E27" s="585"/>
      <c r="F27" s="1777">
        <f>SUM(C27+D27)-E27</f>
        <v>0</v>
      </c>
      <c r="G27" s="552"/>
    </row>
    <row r="28" spans="1:11" ht="7.5" customHeight="1" thickTop="1" x14ac:dyDescent="0.2">
      <c r="A28" s="594"/>
    </row>
    <row r="29" spans="1:11" ht="23.25" customHeight="1" x14ac:dyDescent="0.2">
      <c r="A29" s="2220" t="s">
        <v>603</v>
      </c>
      <c r="B29" s="2221"/>
      <c r="C29" s="730"/>
      <c r="D29" s="730"/>
      <c r="E29" s="730"/>
      <c r="F29" s="730"/>
      <c r="G29" s="730"/>
      <c r="H29" s="730"/>
      <c r="I29" s="730"/>
      <c r="J29" s="730"/>
    </row>
    <row r="30" spans="1:11" ht="33.75" x14ac:dyDescent="0.2">
      <c r="A30" s="1551" t="s">
        <v>1131</v>
      </c>
      <c r="B30" s="731" t="s">
        <v>1186</v>
      </c>
      <c r="C30" s="1910" t="s">
        <v>604</v>
      </c>
      <c r="D30" s="1910" t="s">
        <v>1772</v>
      </c>
      <c r="E30" s="1910" t="s">
        <v>2039</v>
      </c>
      <c r="F30" s="1910" t="s">
        <v>2040</v>
      </c>
      <c r="G30" s="1910" t="s">
        <v>2043</v>
      </c>
      <c r="H30" s="1910" t="s">
        <v>2041</v>
      </c>
      <c r="I30" s="1910" t="s">
        <v>2042</v>
      </c>
      <c r="J30" s="1911" t="s">
        <v>2</v>
      </c>
      <c r="K30" s="732"/>
    </row>
    <row r="31" spans="1:11" ht="12" customHeight="1" x14ac:dyDescent="0.2">
      <c r="A31" s="733"/>
      <c r="B31" s="734"/>
      <c r="C31" s="735"/>
      <c r="D31" s="736"/>
      <c r="E31" s="735"/>
      <c r="F31" s="735"/>
      <c r="G31" s="735"/>
      <c r="H31" s="735"/>
      <c r="I31" s="1778">
        <f>((E31+F31)-H31)+G31</f>
        <v>0</v>
      </c>
      <c r="J31" s="735"/>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0</v>
      </c>
      <c r="D49" s="746"/>
      <c r="E49" s="1778">
        <f t="shared" ref="E49:J49" si="2">SUM(E31:E48)</f>
        <v>0</v>
      </c>
      <c r="F49" s="1778">
        <f t="shared" si="2"/>
        <v>0</v>
      </c>
      <c r="G49" s="1778">
        <f t="shared" si="2"/>
        <v>0</v>
      </c>
      <c r="H49" s="1778">
        <f t="shared" si="2"/>
        <v>0</v>
      </c>
      <c r="I49" s="1778">
        <f t="shared" si="2"/>
        <v>0</v>
      </c>
      <c r="J49" s="1778">
        <f t="shared" si="2"/>
        <v>0</v>
      </c>
      <c r="K49" s="738"/>
    </row>
    <row r="50" spans="1:11" ht="6" customHeight="1" x14ac:dyDescent="0.2">
      <c r="A50" s="747"/>
      <c r="B50" s="737"/>
      <c r="C50" s="737"/>
      <c r="D50" s="737"/>
      <c r="E50" s="737"/>
      <c r="F50" s="737"/>
      <c r="G50" s="737"/>
      <c r="H50" s="737"/>
      <c r="I50" s="737"/>
      <c r="J50" s="747"/>
    </row>
    <row r="51" spans="1:11" x14ac:dyDescent="0.2">
      <c r="A51" s="748" t="s">
        <v>1913</v>
      </c>
      <c r="B51" s="747"/>
      <c r="C51" s="738"/>
      <c r="D51" s="738"/>
      <c r="E51" s="738"/>
      <c r="F51" s="738"/>
      <c r="G51" s="738"/>
      <c r="H51" s="737"/>
      <c r="I51" s="737"/>
      <c r="J51" s="747"/>
    </row>
    <row r="52" spans="1:11" ht="11.25" customHeight="1" x14ac:dyDescent="0.2">
      <c r="A52" s="749" t="s">
        <v>968</v>
      </c>
      <c r="B52" s="2203" t="s">
        <v>605</v>
      </c>
      <c r="C52" s="2204"/>
      <c r="D52" s="2204"/>
      <c r="E52" s="750" t="s">
        <v>900</v>
      </c>
      <c r="F52" s="2205"/>
      <c r="G52" s="2206"/>
      <c r="H52" s="737"/>
      <c r="I52" s="737"/>
      <c r="J52" s="747"/>
    </row>
    <row r="53" spans="1:11" ht="11.25" customHeight="1" x14ac:dyDescent="0.2">
      <c r="A53" s="751" t="s">
        <v>969</v>
      </c>
      <c r="B53" s="752" t="s">
        <v>1008</v>
      </c>
      <c r="C53" s="747"/>
      <c r="D53" s="738"/>
      <c r="E53" s="750" t="s">
        <v>518</v>
      </c>
      <c r="F53" s="2207"/>
      <c r="G53" s="2208"/>
      <c r="H53" s="737"/>
      <c r="I53" s="737"/>
      <c r="J53" s="747"/>
    </row>
    <row r="54" spans="1:11" ht="11.25" customHeight="1" x14ac:dyDescent="0.2">
      <c r="A54" s="753" t="s">
        <v>970</v>
      </c>
      <c r="B54" s="748" t="s">
        <v>1009</v>
      </c>
      <c r="C54" s="747"/>
      <c r="D54" s="738"/>
      <c r="E54" s="750" t="s">
        <v>519</v>
      </c>
      <c r="F54" s="2207"/>
      <c r="G54" s="220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disablePrompts="1"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5" right="0.25" top="0.5" bottom="0.5" header="0.25" footer="0.25"/>
  <pageSetup scale="70" firstPageNumber="26" fitToHeight="0" orientation="landscape" useFirstPageNumber="1" r:id="rId1"/>
  <headerFooter scaleWithDoc="0">
    <oddFooter>&amp;LSee notes to financial statements.&amp;C&amp;P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A7" sqref="A7:D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2" t="s">
        <v>911</v>
      </c>
      <c r="B1" s="2233"/>
      <c r="C1" s="2233"/>
      <c r="D1" s="2233"/>
      <c r="E1" s="2233"/>
      <c r="F1" s="2233"/>
      <c r="G1" s="2234"/>
      <c r="H1" s="1552"/>
      <c r="I1" s="761"/>
      <c r="J1" s="433"/>
    </row>
    <row r="2" spans="1:11" ht="26.25" x14ac:dyDescent="0.2">
      <c r="A2" s="2251" t="s">
        <v>1776</v>
      </c>
      <c r="B2" s="2252"/>
      <c r="C2" s="2252"/>
      <c r="D2" s="2252"/>
      <c r="E2" s="2253"/>
      <c r="F2" s="762" t="s">
        <v>960</v>
      </c>
      <c r="G2" s="763" t="s">
        <v>1773</v>
      </c>
      <c r="H2" s="763" t="s">
        <v>430</v>
      </c>
      <c r="I2" s="763" t="s">
        <v>1220</v>
      </c>
      <c r="J2" s="763" t="s">
        <v>1918</v>
      </c>
      <c r="K2" s="763" t="s">
        <v>140</v>
      </c>
    </row>
    <row r="3" spans="1:11" x14ac:dyDescent="0.2">
      <c r="A3" s="2254" t="s">
        <v>1698</v>
      </c>
      <c r="B3" s="2255"/>
      <c r="C3" s="2255"/>
      <c r="D3" s="2255"/>
      <c r="E3" s="2256"/>
      <c r="F3" s="764"/>
      <c r="G3" s="765"/>
      <c r="H3" s="765"/>
      <c r="I3" s="765"/>
      <c r="J3" s="766"/>
      <c r="K3" s="766"/>
    </row>
    <row r="4" spans="1:11" x14ac:dyDescent="0.2">
      <c r="A4" s="2257" t="s">
        <v>387</v>
      </c>
      <c r="B4" s="2258"/>
      <c r="C4" s="2258"/>
      <c r="D4" s="2258"/>
      <c r="E4" s="2204"/>
      <c r="F4" s="767"/>
      <c r="G4" s="768"/>
      <c r="H4" s="769"/>
      <c r="I4" s="768"/>
      <c r="J4" s="770"/>
      <c r="K4" s="770"/>
    </row>
    <row r="5" spans="1:11" x14ac:dyDescent="0.2">
      <c r="A5" s="2235" t="s">
        <v>1129</v>
      </c>
      <c r="B5" s="2236"/>
      <c r="C5" s="2236"/>
      <c r="D5" s="2236"/>
      <c r="E5" s="2237"/>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5" t="s">
        <v>1919</v>
      </c>
      <c r="B10" s="2236"/>
      <c r="C10" s="2236"/>
      <c r="D10" s="2236"/>
      <c r="E10" s="2238"/>
      <c r="F10" s="784" t="s">
        <v>917</v>
      </c>
      <c r="G10" s="783"/>
      <c r="H10" s="785"/>
      <c r="I10" s="765"/>
      <c r="J10" s="766"/>
      <c r="K10" s="766"/>
    </row>
    <row r="11" spans="1:11" x14ac:dyDescent="0.2">
      <c r="A11" s="2235" t="s">
        <v>162</v>
      </c>
      <c r="B11" s="2236"/>
      <c r="C11" s="2236"/>
      <c r="D11" s="2236"/>
      <c r="E11" s="2237"/>
      <c r="F11" s="771" t="s">
        <v>907</v>
      </c>
      <c r="G11" s="772"/>
      <c r="H11" s="765"/>
      <c r="I11" s="765"/>
      <c r="J11" s="766"/>
      <c r="K11" s="774"/>
    </row>
    <row r="12" spans="1:11" ht="13.5" thickBot="1" x14ac:dyDescent="0.25">
      <c r="A12" s="2262" t="s">
        <v>961</v>
      </c>
      <c r="B12" s="2263"/>
      <c r="C12" s="2263"/>
      <c r="D12" s="2263"/>
      <c r="E12" s="2264"/>
      <c r="F12" s="1779"/>
      <c r="G12" s="1780">
        <f>SUM(G5:G11)</f>
        <v>0</v>
      </c>
      <c r="H12" s="1780">
        <f>SUM(H5:H11)</f>
        <v>0</v>
      </c>
      <c r="I12" s="1780">
        <f>SUM(I5:I11)</f>
        <v>0</v>
      </c>
      <c r="J12" s="1780">
        <f>SUM(J5:J11)</f>
        <v>0</v>
      </c>
      <c r="K12" s="1780">
        <f>SUM(K5:K11)</f>
        <v>0</v>
      </c>
    </row>
    <row r="13" spans="1:11" ht="13.5" thickTop="1" x14ac:dyDescent="0.2">
      <c r="A13" s="2259" t="s">
        <v>388</v>
      </c>
      <c r="B13" s="2260"/>
      <c r="C13" s="2260"/>
      <c r="D13" s="2260"/>
      <c r="E13" s="2261"/>
      <c r="F13" s="786"/>
      <c r="G13" s="787"/>
      <c r="H13" s="788"/>
      <c r="I13" s="789"/>
      <c r="J13" s="789"/>
      <c r="K13" s="789"/>
    </row>
    <row r="14" spans="1:11" x14ac:dyDescent="0.2">
      <c r="A14" s="2242" t="s">
        <v>476</v>
      </c>
      <c r="B14" s="2242"/>
      <c r="C14" s="2242"/>
      <c r="D14" s="2242"/>
      <c r="E14" s="2243"/>
      <c r="F14" s="790" t="s">
        <v>909</v>
      </c>
      <c r="G14" s="783"/>
      <c r="H14" s="765"/>
      <c r="I14" s="772"/>
      <c r="J14" s="774"/>
      <c r="K14" s="766"/>
    </row>
    <row r="15" spans="1:11" x14ac:dyDescent="0.2">
      <c r="A15" s="2236" t="s">
        <v>4</v>
      </c>
      <c r="B15" s="2236"/>
      <c r="C15" s="2236"/>
      <c r="D15" s="2236"/>
      <c r="E15" s="2237"/>
      <c r="F15" s="790" t="s">
        <v>910</v>
      </c>
      <c r="G15" s="772"/>
      <c r="H15" s="765"/>
      <c r="I15" s="765"/>
      <c r="J15" s="766"/>
      <c r="K15" s="766"/>
    </row>
    <row r="16" spans="1:11" x14ac:dyDescent="0.2">
      <c r="A16" s="2236" t="s">
        <v>316</v>
      </c>
      <c r="B16" s="2236"/>
      <c r="C16" s="2236"/>
      <c r="D16" s="2236"/>
      <c r="E16" s="2237"/>
      <c r="F16" s="790" t="s">
        <v>980</v>
      </c>
      <c r="G16" s="773"/>
      <c r="H16" s="768"/>
      <c r="I16" s="768"/>
      <c r="J16" s="770"/>
      <c r="K16" s="770"/>
    </row>
    <row r="17" spans="1:11" x14ac:dyDescent="0.2">
      <c r="A17" s="2267" t="s">
        <v>992</v>
      </c>
      <c r="B17" s="2267"/>
      <c r="C17" s="2267"/>
      <c r="D17" s="2267"/>
      <c r="E17" s="2268"/>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44" t="s">
        <v>1915</v>
      </c>
      <c r="B19" s="2244"/>
      <c r="C19" s="2244"/>
      <c r="D19" s="2244"/>
      <c r="E19" s="2245"/>
      <c r="F19" s="790" t="s">
        <v>990</v>
      </c>
      <c r="G19" s="783"/>
      <c r="H19" s="783"/>
      <c r="I19" s="783"/>
      <c r="J19" s="766"/>
      <c r="K19" s="796"/>
    </row>
    <row r="20" spans="1:11" x14ac:dyDescent="0.2">
      <c r="A20" s="2246" t="s">
        <v>1920</v>
      </c>
      <c r="B20" s="2247"/>
      <c r="C20" s="2247"/>
      <c r="D20" s="2247"/>
      <c r="E20" s="2248"/>
      <c r="F20" s="790" t="s">
        <v>991</v>
      </c>
      <c r="G20" s="783"/>
      <c r="H20" s="783"/>
      <c r="I20" s="783"/>
      <c r="J20" s="766"/>
      <c r="K20" s="796"/>
    </row>
    <row r="21" spans="1:11" ht="13.5" thickBot="1" x14ac:dyDescent="0.25">
      <c r="A21" s="2265" t="s">
        <v>659</v>
      </c>
      <c r="B21" s="2265"/>
      <c r="C21" s="2265"/>
      <c r="D21" s="2265"/>
      <c r="E21" s="2265"/>
      <c r="F21" s="1781"/>
      <c r="G21" s="793"/>
      <c r="H21" s="797"/>
      <c r="I21" s="797"/>
      <c r="J21" s="1782">
        <f>SUM(J18:J20)</f>
        <v>0</v>
      </c>
      <c r="K21" s="794"/>
    </row>
    <row r="22" spans="1:11" ht="13.5" thickTop="1" x14ac:dyDescent="0.2">
      <c r="A22" s="2236" t="s">
        <v>1921</v>
      </c>
      <c r="B22" s="2236"/>
      <c r="C22" s="2236"/>
      <c r="D22" s="2236"/>
      <c r="E22" s="2237"/>
      <c r="F22" s="790" t="s">
        <v>917</v>
      </c>
      <c r="G22" s="783"/>
      <c r="H22" s="765"/>
      <c r="I22" s="765"/>
      <c r="J22" s="798"/>
      <c r="K22" s="766"/>
    </row>
    <row r="23" spans="1:11" ht="13.5" thickBot="1" x14ac:dyDescent="0.25">
      <c r="A23" s="2266" t="s">
        <v>962</v>
      </c>
      <c r="B23" s="2265"/>
      <c r="C23" s="2265"/>
      <c r="D23" s="2265"/>
      <c r="E23" s="2265"/>
      <c r="F23" s="1783"/>
      <c r="G23" s="1780">
        <f>SUM(G14:G16,G21,G22)</f>
        <v>0</v>
      </c>
      <c r="H23" s="1780">
        <f>SUM(H14:H16,H21,H22)</f>
        <v>0</v>
      </c>
      <c r="I23" s="1780">
        <f>SUM(I14:I16,I21,I22)</f>
        <v>0</v>
      </c>
      <c r="J23" s="1780">
        <f>SUM(J14:J16,J21,J22)</f>
        <v>0</v>
      </c>
      <c r="K23" s="1780">
        <f>SUM(K14:K16,K21,K22)</f>
        <v>0</v>
      </c>
    </row>
    <row r="24" spans="1:11" ht="14.25" thickTop="1" thickBot="1" x14ac:dyDescent="0.25">
      <c r="A24" s="2266" t="s">
        <v>2025</v>
      </c>
      <c r="B24" s="2265"/>
      <c r="C24" s="2265"/>
      <c r="D24" s="2265"/>
      <c r="E24" s="2265"/>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2035</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9"/>
      <c r="I31" s="2240"/>
      <c r="J31" s="2240"/>
      <c r="K31" s="2240"/>
    </row>
    <row r="32" spans="1:11" x14ac:dyDescent="0.2">
      <c r="A32" s="810"/>
      <c r="B32" s="237"/>
      <c r="C32" s="237"/>
      <c r="D32" s="237"/>
      <c r="E32" s="806"/>
      <c r="F32" s="812" t="s">
        <v>561</v>
      </c>
      <c r="G32" s="765"/>
      <c r="H32" s="2241"/>
      <c r="I32" s="2240"/>
      <c r="J32" s="2240"/>
      <c r="K32" s="2240"/>
    </row>
    <row r="33" spans="1:11" ht="1.5" customHeight="1" x14ac:dyDescent="0.2">
      <c r="A33" s="813" t="s">
        <v>1231</v>
      </c>
      <c r="B33" s="364"/>
      <c r="C33" s="364"/>
      <c r="D33" s="364"/>
      <c r="E33" s="364"/>
      <c r="F33" s="364"/>
      <c r="G33" s="814"/>
      <c r="H33" s="2241"/>
      <c r="I33" s="2240"/>
      <c r="J33" s="2240"/>
      <c r="K33" s="2240"/>
    </row>
    <row r="34" spans="1:11" x14ac:dyDescent="0.2">
      <c r="A34" s="815" t="s">
        <v>1922</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6" t="s">
        <v>562</v>
      </c>
      <c r="B41" s="2249"/>
      <c r="C41" s="2249"/>
      <c r="D41" s="2249"/>
      <c r="E41" s="2249"/>
      <c r="F41" s="2250"/>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1916</v>
      </c>
      <c r="B46" s="408" t="s">
        <v>1774</v>
      </c>
    </row>
    <row r="47" spans="1:11" s="824" customFormat="1" ht="12.75" customHeight="1" x14ac:dyDescent="0.2">
      <c r="A47" s="822"/>
      <c r="B47" s="823" t="s">
        <v>1775</v>
      </c>
      <c r="E47" s="823"/>
      <c r="K47" s="825"/>
    </row>
    <row r="48" spans="1:11" ht="12.75" customHeight="1" x14ac:dyDescent="0.2">
      <c r="A48" s="1554" t="s">
        <v>1917</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verticalCentered="1" headings="1"/>
  <pageMargins left="0.5" right="0.5" top="0.75" bottom="0.5" header="0.45" footer="0.25"/>
  <pageSetup scale="79" firstPageNumber="27" orientation="landscape" useFirstPageNumber="1" r:id="rId1"/>
  <headerFooter scaleWithDoc="0">
    <oddHeader xml:space="preserve">&amp;C&amp;"Arial,Bold"Schedule of Restricted Local Tax Levies and Selected Revenues Sources 
Schedule of Tort Immunity Expenditures </oddHeader>
    <oddFooter>&amp;LSee notes to financial statements.&amp;C&amp;P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C12" sqref="C12:C1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2034</v>
      </c>
      <c r="B1" s="2272"/>
      <c r="C1" s="2273"/>
      <c r="D1" s="827"/>
      <c r="E1" s="828"/>
      <c r="F1" s="828"/>
      <c r="G1" s="829"/>
      <c r="H1" s="830"/>
      <c r="I1" s="831"/>
      <c r="J1" s="2269"/>
      <c r="K1" s="2270"/>
      <c r="L1" s="2270"/>
    </row>
    <row r="2" spans="1:14" ht="69.75" customHeight="1" x14ac:dyDescent="0.2">
      <c r="A2" s="832" t="s">
        <v>1777</v>
      </c>
      <c r="B2" s="833" t="s">
        <v>396</v>
      </c>
      <c r="C2" s="834" t="s">
        <v>2029</v>
      </c>
      <c r="D2" s="834" t="s">
        <v>2026</v>
      </c>
      <c r="E2" s="834" t="s">
        <v>2027</v>
      </c>
      <c r="F2" s="834" t="s">
        <v>2028</v>
      </c>
      <c r="G2" s="834" t="s">
        <v>626</v>
      </c>
      <c r="H2" s="834" t="s">
        <v>2030</v>
      </c>
      <c r="I2" s="834" t="s">
        <v>2031</v>
      </c>
      <c r="J2" s="834" t="s">
        <v>2046</v>
      </c>
      <c r="K2" s="834" t="s">
        <v>2032</v>
      </c>
      <c r="L2" s="834" t="s">
        <v>2033</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v>
      </c>
      <c r="D5" s="842"/>
      <c r="E5" s="842"/>
      <c r="F5" s="1782">
        <f>(C5+D5)-E5</f>
        <v>1</v>
      </c>
      <c r="G5" s="838"/>
      <c r="H5" s="843"/>
      <c r="I5" s="843"/>
      <c r="J5" s="843"/>
      <c r="K5" s="794"/>
      <c r="L5" s="1791">
        <f>F5-K5</f>
        <v>1</v>
      </c>
    </row>
    <row r="6" spans="1:14" ht="14.25" thickTop="1" thickBot="1" x14ac:dyDescent="0.25">
      <c r="A6" s="779" t="s">
        <v>1179</v>
      </c>
      <c r="B6" s="841">
        <v>222</v>
      </c>
      <c r="C6" s="766">
        <v>35046</v>
      </c>
      <c r="D6" s="766"/>
      <c r="E6" s="766"/>
      <c r="F6" s="1782">
        <f>(C6+D6)-E6</f>
        <v>35046</v>
      </c>
      <c r="G6" s="838">
        <v>50</v>
      </c>
      <c r="H6" s="766">
        <v>8234</v>
      </c>
      <c r="I6" s="766">
        <v>1597</v>
      </c>
      <c r="J6" s="766"/>
      <c r="K6" s="1791">
        <f>(H6+I6)-J6</f>
        <v>9831</v>
      </c>
      <c r="L6" s="1791">
        <f>F6-K6</f>
        <v>25215</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1087654</v>
      </c>
      <c r="D8" s="845"/>
      <c r="E8" s="845"/>
      <c r="F8" s="1782">
        <f>(C8+D8)-E8</f>
        <v>1087654</v>
      </c>
      <c r="G8" s="844">
        <v>50</v>
      </c>
      <c r="H8" s="766">
        <v>175756</v>
      </c>
      <c r="I8" s="766">
        <v>27495</v>
      </c>
      <c r="J8" s="766"/>
      <c r="K8" s="1791">
        <f>(H8+I8)-J8</f>
        <v>203251</v>
      </c>
      <c r="L8" s="1791">
        <f>F8-K8</f>
        <v>884403</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c r="D10" s="847"/>
      <c r="E10" s="847"/>
      <c r="F10" s="1786">
        <f>(C10+D10)-E10</f>
        <v>0</v>
      </c>
      <c r="G10" s="844">
        <v>20</v>
      </c>
      <c r="H10" s="848"/>
      <c r="I10" s="848"/>
      <c r="J10" s="848"/>
      <c r="K10" s="1791">
        <f>(H10+I10)-J10</f>
        <v>0</v>
      </c>
      <c r="L10" s="1791">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196631</v>
      </c>
      <c r="D12" s="845"/>
      <c r="E12" s="845"/>
      <c r="F12" s="1782">
        <f>(C12+D12)-E12</f>
        <v>196631</v>
      </c>
      <c r="G12" s="844">
        <v>10</v>
      </c>
      <c r="H12" s="766">
        <v>119972</v>
      </c>
      <c r="I12" s="766">
        <v>14762</v>
      </c>
      <c r="J12" s="766"/>
      <c r="K12" s="1791">
        <f>(H12+I12)-J12</f>
        <v>134734</v>
      </c>
      <c r="L12" s="1791">
        <f>F12-K12</f>
        <v>61897</v>
      </c>
    </row>
    <row r="13" spans="1:14" ht="14.25" thickTop="1" thickBot="1" x14ac:dyDescent="0.25">
      <c r="A13" s="849" t="s">
        <v>1184</v>
      </c>
      <c r="B13" s="841">
        <v>252</v>
      </c>
      <c r="C13" s="845">
        <v>17608</v>
      </c>
      <c r="D13" s="845"/>
      <c r="E13" s="845"/>
      <c r="F13" s="1782">
        <f>(C13+D13)-E13</f>
        <v>17608</v>
      </c>
      <c r="G13" s="844">
        <v>5</v>
      </c>
      <c r="H13" s="766">
        <v>13608</v>
      </c>
      <c r="I13" s="766">
        <v>813</v>
      </c>
      <c r="J13" s="766"/>
      <c r="K13" s="1791">
        <f>(H13+I13)-J13</f>
        <v>14421</v>
      </c>
      <c r="L13" s="1791">
        <f>F13-K13</f>
        <v>3187</v>
      </c>
    </row>
    <row r="14" spans="1:14" ht="14.25" thickTop="1" thickBot="1" x14ac:dyDescent="0.25">
      <c r="A14" s="849" t="s">
        <v>1185</v>
      </c>
      <c r="B14" s="841">
        <v>253</v>
      </c>
      <c r="C14" s="766">
        <v>14439</v>
      </c>
      <c r="D14" s="766"/>
      <c r="E14" s="766"/>
      <c r="F14" s="1782">
        <f>(C14+D14)-E14</f>
        <v>14439</v>
      </c>
      <c r="G14" s="844">
        <v>3</v>
      </c>
      <c r="H14" s="766">
        <v>14439</v>
      </c>
      <c r="I14" s="766"/>
      <c r="J14" s="766"/>
      <c r="K14" s="1791">
        <f>(H14+I14)-J14</f>
        <v>14439</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1351379</v>
      </c>
      <c r="D16" s="1782">
        <f>SUM(D3,D5:D6,D8:D10,D12:D15)</f>
        <v>0</v>
      </c>
      <c r="E16" s="1782">
        <f>SUM(E3,E5:E6,E8:E10,E12:E15)</f>
        <v>0</v>
      </c>
      <c r="F16" s="1782">
        <f>SUM(F3,F5:F6,F8:F10,F12:F15)</f>
        <v>1351379</v>
      </c>
      <c r="G16" s="844"/>
      <c r="H16" s="1782">
        <f>SUM(H3,H6,H8:H10,H12:H14,)</f>
        <v>332009</v>
      </c>
      <c r="I16" s="1782">
        <f>SUM(I3,I6,I8:I10,I12:I14,)</f>
        <v>44667</v>
      </c>
      <c r="J16" s="1782">
        <f>SUM(J3,J6,J8:J10,J12:J14,)</f>
        <v>0</v>
      </c>
      <c r="K16" s="1782">
        <f>(H16+I16)-J16</f>
        <v>376676</v>
      </c>
      <c r="L16" s="1782">
        <f>F16-K16</f>
        <v>974703</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44667</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25" top="1.25" bottom="1" header="0.19" footer="0.5"/>
  <pageSetup scale="80" firstPageNumber="28" orientation="landscape" useFirstPageNumber="1" r:id="rId1"/>
  <headerFooter scaleWithDoc="0">
    <oddHeader xml:space="preserve">&amp;C </oddHeader>
    <oddFooter>&amp;LSee notes to financial statements.&amp;C&amp;P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4" activePane="bottomLeft" state="frozen"/>
      <selection activeCell="A7" sqref="A7:D7"/>
      <selection pane="bottomLeft" activeCell="D90" sqref="D90"/>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2202505</v>
      </c>
      <c r="G8" s="866"/>
    </row>
    <row r="9" spans="1:7" x14ac:dyDescent="0.2">
      <c r="A9" s="870" t="s">
        <v>480</v>
      </c>
      <c r="B9" s="871" t="s">
        <v>1988</v>
      </c>
      <c r="C9" s="872"/>
      <c r="D9" s="870" t="s">
        <v>522</v>
      </c>
      <c r="E9" s="869"/>
      <c r="F9" s="1935">
        <f>'Expenditures 15-22'!K151</f>
        <v>0</v>
      </c>
      <c r="G9" s="873"/>
    </row>
    <row r="10" spans="1:7" x14ac:dyDescent="0.2">
      <c r="A10" s="870" t="s">
        <v>520</v>
      </c>
      <c r="B10" s="871" t="s">
        <v>1989</v>
      </c>
      <c r="C10" s="872"/>
      <c r="D10" s="870" t="s">
        <v>522</v>
      </c>
      <c r="E10" s="869"/>
      <c r="F10" s="1935">
        <f>'Expenditures 15-22'!K174</f>
        <v>0</v>
      </c>
      <c r="G10" s="873"/>
    </row>
    <row r="11" spans="1:7" x14ac:dyDescent="0.2">
      <c r="A11" s="870" t="s">
        <v>481</v>
      </c>
      <c r="B11" s="871" t="s">
        <v>1990</v>
      </c>
      <c r="C11" s="872"/>
      <c r="D11" s="870" t="s">
        <v>522</v>
      </c>
      <c r="E11" s="869"/>
      <c r="F11" s="1935">
        <f>'Expenditures 15-22'!K210</f>
        <v>148485</v>
      </c>
      <c r="G11" s="873"/>
    </row>
    <row r="12" spans="1:7" x14ac:dyDescent="0.2">
      <c r="A12" s="870" t="s">
        <v>482</v>
      </c>
      <c r="B12" s="871" t="s">
        <v>1991</v>
      </c>
      <c r="C12" s="872"/>
      <c r="D12" s="870" t="s">
        <v>522</v>
      </c>
      <c r="E12" s="869"/>
      <c r="F12" s="1935">
        <f>'Expenditures 15-22'!K295</f>
        <v>0</v>
      </c>
      <c r="G12" s="873"/>
    </row>
    <row r="13" spans="1:7" x14ac:dyDescent="0.2">
      <c r="A13" s="870" t="s">
        <v>108</v>
      </c>
      <c r="B13" s="871" t="s">
        <v>1992</v>
      </c>
      <c r="C13" s="872"/>
      <c r="D13" s="870" t="s">
        <v>522</v>
      </c>
      <c r="E13" s="869"/>
      <c r="F13" s="1935">
        <f>'Expenditures 15-22'!K342</f>
        <v>0</v>
      </c>
      <c r="G13" s="874"/>
    </row>
    <row r="14" spans="1:7" ht="12" customHeight="1" thickBot="1" x14ac:dyDescent="0.25">
      <c r="A14" s="1792"/>
      <c r="B14" s="1793"/>
      <c r="C14" s="1794"/>
      <c r="D14" s="1795" t="s">
        <v>522</v>
      </c>
      <c r="E14" s="1796" t="s">
        <v>1015</v>
      </c>
      <c r="F14" s="1797">
        <f>SUM(F8:F13)</f>
        <v>2350990</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728195</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0</v>
      </c>
      <c r="G53" s="866"/>
    </row>
    <row r="54" spans="1:7" x14ac:dyDescent="0.2">
      <c r="A54" s="870" t="s">
        <v>479</v>
      </c>
      <c r="B54" s="870" t="s">
        <v>1552</v>
      </c>
      <c r="C54" s="890" t="s">
        <v>1039</v>
      </c>
      <c r="D54" s="886" t="s">
        <v>1157</v>
      </c>
      <c r="E54" s="869"/>
      <c r="F54" s="1939">
        <f>'Expenditures 15-22'!G114</f>
        <v>16401</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9">
        <f>'Expenditures 15-22'!K139</f>
        <v>0</v>
      </c>
      <c r="G57" s="866"/>
    </row>
    <row r="58" spans="1:7" x14ac:dyDescent="0.2">
      <c r="A58" s="870" t="s">
        <v>480</v>
      </c>
      <c r="B58" s="870" t="s">
        <v>1994</v>
      </c>
      <c r="C58" s="887" t="s">
        <v>1039</v>
      </c>
      <c r="D58" s="886" t="s">
        <v>1157</v>
      </c>
      <c r="E58" s="869"/>
      <c r="F58" s="1941">
        <f>'Expenditures 15-22'!G151</f>
        <v>0</v>
      </c>
      <c r="G58" s="866"/>
    </row>
    <row r="59" spans="1:7" x14ac:dyDescent="0.2">
      <c r="A59" s="894" t="s">
        <v>480</v>
      </c>
      <c r="B59" s="857" t="s">
        <v>1995</v>
      </c>
      <c r="C59" s="895" t="s">
        <v>1039</v>
      </c>
      <c r="D59" s="857" t="s">
        <v>309</v>
      </c>
      <c r="F59" s="1942">
        <f>'Expenditures 15-22'!I151</f>
        <v>0</v>
      </c>
      <c r="G59" s="866"/>
    </row>
    <row r="60" spans="1:7" x14ac:dyDescent="0.2">
      <c r="A60" s="894" t="s">
        <v>520</v>
      </c>
      <c r="B60" s="857" t="s">
        <v>1996</v>
      </c>
      <c r="C60" s="895">
        <v>4000</v>
      </c>
      <c r="D60" s="857" t="s">
        <v>330</v>
      </c>
      <c r="F60" s="1940">
        <f>'Expenditures 15-22'!K160</f>
        <v>0</v>
      </c>
      <c r="G60" s="866"/>
    </row>
    <row r="61" spans="1:7" x14ac:dyDescent="0.2">
      <c r="A61" s="896" t="s">
        <v>520</v>
      </c>
      <c r="B61" s="896" t="s">
        <v>1997</v>
      </c>
      <c r="C61" s="897" t="str">
        <f>'Expenditures 15-22'!B170</f>
        <v>5300</v>
      </c>
      <c r="D61" s="898" t="s">
        <v>329</v>
      </c>
      <c r="E61" s="880"/>
      <c r="F61" s="1939">
        <f>'Expenditures 15-22'!K170</f>
        <v>0</v>
      </c>
      <c r="G61" s="866"/>
    </row>
    <row r="62" spans="1:7" x14ac:dyDescent="0.2">
      <c r="A62" s="870" t="s">
        <v>481</v>
      </c>
      <c r="B62" s="870" t="s">
        <v>1998</v>
      </c>
      <c r="C62" s="887">
        <f>'Expenditures 15-22'!B185</f>
        <v>3000</v>
      </c>
      <c r="D62" s="877" t="s">
        <v>469</v>
      </c>
      <c r="E62" s="869"/>
      <c r="F62" s="1939">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2000</v>
      </c>
      <c r="C64" s="897" t="str">
        <f>'Expenditures 15-22'!B206</f>
        <v>5300</v>
      </c>
      <c r="D64" s="893" t="s">
        <v>329</v>
      </c>
      <c r="E64" s="869"/>
      <c r="F64" s="1939">
        <f>'Expenditures 15-22'!K206</f>
        <v>0</v>
      </c>
      <c r="G64" s="866"/>
    </row>
    <row r="65" spans="1:8" x14ac:dyDescent="0.2">
      <c r="A65" s="870" t="s">
        <v>481</v>
      </c>
      <c r="B65" s="870" t="s">
        <v>2001</v>
      </c>
      <c r="C65" s="887" t="s">
        <v>1039</v>
      </c>
      <c r="D65" s="886" t="s">
        <v>1157</v>
      </c>
      <c r="E65" s="869"/>
      <c r="F65" s="1939">
        <f>'Expenditures 15-22'!G210</f>
        <v>0</v>
      </c>
      <c r="G65" s="866"/>
    </row>
    <row r="66" spans="1:8" x14ac:dyDescent="0.2">
      <c r="A66" s="870" t="s">
        <v>481</v>
      </c>
      <c r="B66" s="870" t="s">
        <v>2002</v>
      </c>
      <c r="C66" s="887" t="s">
        <v>1039</v>
      </c>
      <c r="D66" s="886" t="s">
        <v>309</v>
      </c>
      <c r="E66" s="869"/>
      <c r="F66" s="1939">
        <f>'Expenditures 15-22'!I210</f>
        <v>0</v>
      </c>
      <c r="G66" s="866"/>
    </row>
    <row r="67" spans="1:8" x14ac:dyDescent="0.2">
      <c r="A67" s="870" t="s">
        <v>482</v>
      </c>
      <c r="B67" s="870" t="s">
        <v>2003</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2005</v>
      </c>
      <c r="C70" s="887">
        <f>'Expenditures 15-22'!B221</f>
        <v>1300</v>
      </c>
      <c r="D70" s="888" t="str">
        <f>'Expenditures 15-22'!A221</f>
        <v>Adult/Continuing Education Programs</v>
      </c>
      <c r="E70" s="869"/>
      <c r="F70" s="1939">
        <f>'Expenditures 15-22'!K221</f>
        <v>0</v>
      </c>
      <c r="G70" s="866"/>
    </row>
    <row r="71" spans="1:8" x14ac:dyDescent="0.2">
      <c r="A71" s="870" t="s">
        <v>482</v>
      </c>
      <c r="B71" s="870" t="s">
        <v>2006</v>
      </c>
      <c r="C71" s="887">
        <f>'Expenditures 15-22'!B224</f>
        <v>1600</v>
      </c>
      <c r="D71" s="888" t="str">
        <f>'Expenditures 15-22'!A224</f>
        <v>Summer School Programs</v>
      </c>
      <c r="E71" s="869"/>
      <c r="F71" s="1939">
        <f>'Expenditures 15-22'!K224</f>
        <v>0</v>
      </c>
      <c r="G71" s="866"/>
    </row>
    <row r="72" spans="1:8" x14ac:dyDescent="0.2">
      <c r="A72" s="870" t="s">
        <v>482</v>
      </c>
      <c r="B72" s="870" t="s">
        <v>2007</v>
      </c>
      <c r="C72" s="887">
        <f>'Expenditures 15-22'!B280</f>
        <v>3000</v>
      </c>
      <c r="D72" s="877" t="s">
        <v>469</v>
      </c>
      <c r="E72" s="869"/>
      <c r="F72" s="1939">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2009</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744596</v>
      </c>
      <c r="G76" s="866"/>
    </row>
    <row r="77" spans="1:8" s="894" customFormat="1" ht="12" customHeight="1" thickTop="1" thickBot="1" x14ac:dyDescent="0.25">
      <c r="A77" s="1801"/>
      <c r="B77" s="1798"/>
      <c r="C77" s="1794"/>
      <c r="D77" s="1799" t="s">
        <v>2011</v>
      </c>
      <c r="E77" s="1796"/>
      <c r="F77" s="1802">
        <f>(F14-F76)</f>
        <v>1606394</v>
      </c>
      <c r="G77" s="870"/>
    </row>
    <row r="78" spans="1:8" s="894" customFormat="1" ht="12" customHeight="1" thickTop="1" x14ac:dyDescent="0.2">
      <c r="A78" s="1803"/>
      <c r="B78" s="1798"/>
      <c r="C78" s="1794"/>
      <c r="D78" s="1799" t="s">
        <v>2058</v>
      </c>
      <c r="E78" s="1796"/>
      <c r="F78" s="899">
        <v>0</v>
      </c>
      <c r="G78" s="900"/>
      <c r="H78" s="870"/>
    </row>
    <row r="79" spans="1:8" s="894" customFormat="1" ht="12" customHeight="1" thickBot="1" x14ac:dyDescent="0.25">
      <c r="A79" s="1804"/>
      <c r="B79" s="1798"/>
      <c r="C79" s="1794"/>
      <c r="D79" s="1799" t="s">
        <v>2012</v>
      </c>
      <c r="E79" s="1796" t="s">
        <v>1015</v>
      </c>
      <c r="F79" s="1805"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8960</v>
      </c>
      <c r="G94" s="913"/>
    </row>
    <row r="95" spans="1:7" x14ac:dyDescent="0.2">
      <c r="A95" s="909" t="s">
        <v>142</v>
      </c>
      <c r="B95" s="909" t="s">
        <v>177</v>
      </c>
      <c r="C95" s="911">
        <v>1700</v>
      </c>
      <c r="D95" s="919" t="str">
        <f>'Revenues 9-14'!A82</f>
        <v>Total District/School Activity Income</v>
      </c>
      <c r="E95" s="907"/>
      <c r="F95" s="1811">
        <f>SUM('Revenues 9-14'!C82,'Revenues 9-14'!D82)</f>
        <v>51039</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57984</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61804</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0</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140810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561</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87062</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45301</v>
      </c>
      <c r="G129" s="931"/>
    </row>
    <row r="130" spans="1:7" x14ac:dyDescent="0.2">
      <c r="A130" s="928" t="s">
        <v>689</v>
      </c>
      <c r="B130" s="928" t="s">
        <v>804</v>
      </c>
      <c r="C130" s="933">
        <v>4300</v>
      </c>
      <c r="D130" s="934" t="str">
        <f>'Revenues 9-14'!A211</f>
        <v>Total Title I</v>
      </c>
      <c r="E130" s="907"/>
      <c r="F130" s="1811">
        <f>SUM('Revenues 9-14'!C211,'Revenues 9-14'!D211,'Revenues 9-14'!F211,'Revenues 9-14'!G211)</f>
        <v>0</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1272541</v>
      </c>
      <c r="G174" s="928"/>
    </row>
    <row r="175" spans="1:7" x14ac:dyDescent="0.2">
      <c r="A175" s="1944" t="s">
        <v>5</v>
      </c>
      <c r="B175" s="1945" t="s">
        <v>2057</v>
      </c>
      <c r="C175" s="1946">
        <v>3100</v>
      </c>
      <c r="D175" s="1947" t="s">
        <v>2060</v>
      </c>
      <c r="E175" s="907"/>
      <c r="F175" s="1931"/>
      <c r="G175" s="928"/>
    </row>
    <row r="176" spans="1:7" x14ac:dyDescent="0.2">
      <c r="A176" s="1944" t="s">
        <v>685</v>
      </c>
      <c r="B176" s="1945" t="s">
        <v>2057</v>
      </c>
      <c r="C176" s="1946">
        <v>3300</v>
      </c>
      <c r="D176" s="1947" t="s">
        <v>2061</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1726062</v>
      </c>
    </row>
    <row r="179" spans="1:7" ht="12" customHeight="1" x14ac:dyDescent="0.2">
      <c r="A179" s="1792"/>
      <c r="B179" s="1806"/>
      <c r="C179" s="1807"/>
      <c r="D179" s="1808" t="s">
        <v>2014</v>
      </c>
      <c r="E179" s="1809"/>
      <c r="F179" s="1811">
        <f>'PCTC-OEPP 27-28'!F77-F178</f>
        <v>-119668</v>
      </c>
    </row>
    <row r="180" spans="1:7" ht="12" customHeight="1" x14ac:dyDescent="0.2">
      <c r="A180" s="1792"/>
      <c r="B180" s="1806"/>
      <c r="C180" s="1807"/>
      <c r="D180" s="1808" t="s">
        <v>1923</v>
      </c>
      <c r="E180" s="1809"/>
      <c r="F180" s="1811">
        <f>'Cap Outlay Deprec 26'!I18</f>
        <v>44667</v>
      </c>
    </row>
    <row r="181" spans="1:7" ht="12" customHeight="1" x14ac:dyDescent="0.2">
      <c r="A181" s="1792"/>
      <c r="B181" s="1806"/>
      <c r="C181" s="1807"/>
      <c r="D181" s="1808" t="s">
        <v>2015</v>
      </c>
      <c r="E181" s="1809"/>
      <c r="F181" s="1811">
        <f>F179+F180</f>
        <v>-75001</v>
      </c>
    </row>
    <row r="182" spans="1:7" ht="12" customHeight="1" x14ac:dyDescent="0.2">
      <c r="A182" s="1792"/>
      <c r="B182" s="1812"/>
      <c r="C182" s="1807"/>
      <c r="D182" s="1808" t="str">
        <f>D78</f>
        <v>9 Month ADA from District Average Daily Attendance/Prior General State Aid Inquiry 2017-2018</v>
      </c>
      <c r="E182" s="1809"/>
      <c r="F182" s="1813">
        <f>'PCTC-OEPP 27-28'!F78</f>
        <v>0</v>
      </c>
      <c r="G182" s="931"/>
    </row>
    <row r="183" spans="1:7" ht="12" customHeight="1" thickBot="1" x14ac:dyDescent="0.25">
      <c r="A183" s="1792"/>
      <c r="B183" s="1812"/>
      <c r="C183" s="1807"/>
      <c r="D183" s="1808" t="s">
        <v>2016</v>
      </c>
      <c r="E183" s="1809" t="s">
        <v>1626</v>
      </c>
      <c r="F183" s="1814" t="e">
        <f>F181/F182</f>
        <v>#DIV/0!</v>
      </c>
      <c r="G183" s="857">
        <v>6323</v>
      </c>
    </row>
    <row r="184" spans="1:7" ht="12" thickTop="1" x14ac:dyDescent="0.2">
      <c r="B184" s="931"/>
      <c r="C184" s="950"/>
      <c r="D184" s="931"/>
      <c r="E184" s="950"/>
      <c r="F184" s="931"/>
      <c r="G184" s="952">
        <v>6326</v>
      </c>
    </row>
    <row r="185" spans="1:7" ht="12.2" customHeight="1" x14ac:dyDescent="0.2">
      <c r="A185" s="931" t="s">
        <v>2059</v>
      </c>
      <c r="B185" s="931"/>
      <c r="C185" s="950"/>
      <c r="D185" s="931"/>
      <c r="E185" s="950"/>
      <c r="F185" s="931"/>
      <c r="G185" s="931"/>
    </row>
    <row r="186" spans="1:7" s="1948" customFormat="1" ht="12.2" customHeight="1" x14ac:dyDescent="0.2">
      <c r="A186" s="1948" t="s">
        <v>2064</v>
      </c>
      <c r="B186" s="1949"/>
      <c r="C186" s="1950"/>
      <c r="D186" s="1949"/>
      <c r="E186" s="1950"/>
      <c r="F186" s="1949"/>
      <c r="G186" s="1949"/>
    </row>
    <row r="187" spans="1:7" s="1948" customFormat="1" ht="12.2" customHeight="1" x14ac:dyDescent="0.2">
      <c r="A187" s="1951" t="s">
        <v>2065</v>
      </c>
      <c r="C187" s="1950"/>
      <c r="D187" s="1949"/>
      <c r="E187" s="1950"/>
      <c r="F187" s="1949"/>
      <c r="G187" s="1949"/>
    </row>
    <row r="188" spans="1:7" ht="12" customHeight="1" x14ac:dyDescent="0.2">
      <c r="C188" s="950"/>
      <c r="D188" s="931"/>
      <c r="E188" s="950"/>
      <c r="F188" s="931"/>
      <c r="G188" s="931"/>
    </row>
    <row r="189" spans="1:7" x14ac:dyDescent="0.2">
      <c r="A189" s="1952" t="s">
        <v>2063</v>
      </c>
      <c r="B189" s="1953" t="s">
        <v>2062</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orizontalCentered="1" headings="1"/>
  <pageMargins left="0.5" right="0" top="0.5" bottom="0.5" header="0.25" footer="0.5"/>
  <pageSetup scale="70" firstPageNumber="29" orientation="portrait" useFirstPageNumber="1" r:id="rId2"/>
  <headerFooter scaleWithDoc="0">
    <oddHeader xml:space="preserve">&amp;C </oddHeader>
    <oddFooter>&amp;LSee notes to financial statements.&amp;C&amp;P</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opLeftCell="A7" zoomScaleNormal="100" workbookViewId="0">
      <selection activeCell="B19" sqref="B19"/>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1939</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1924</v>
      </c>
      <c r="B4" s="2289"/>
      <c r="C4" s="2289"/>
      <c r="D4" s="2289"/>
      <c r="E4" s="2289"/>
      <c r="F4" s="2289"/>
      <c r="G4" s="2290"/>
    </row>
    <row r="5" spans="1:7" x14ac:dyDescent="0.25">
      <c r="A5" s="2291"/>
      <c r="B5" s="2292"/>
      <c r="C5" s="2292"/>
      <c r="D5" s="2292"/>
      <c r="E5" s="2292"/>
      <c r="F5" s="2292"/>
      <c r="G5" s="2293"/>
    </row>
    <row r="6" spans="1:7" ht="18.75" x14ac:dyDescent="0.25">
      <c r="A6" s="1556" t="s">
        <v>1925</v>
      </c>
      <c r="B6" s="1557"/>
      <c r="C6" s="1557"/>
      <c r="D6" s="1557"/>
      <c r="E6" s="1557"/>
      <c r="F6" s="1557"/>
      <c r="G6" s="1558"/>
    </row>
    <row r="7" spans="1:7" ht="30.75" customHeight="1" x14ac:dyDescent="0.25">
      <c r="A7" s="2294" t="s">
        <v>2074</v>
      </c>
      <c r="B7" s="2295"/>
      <c r="C7" s="2295"/>
      <c r="D7" s="2295"/>
      <c r="E7" s="2295"/>
      <c r="F7" s="2295"/>
      <c r="G7" s="2296"/>
    </row>
    <row r="8" spans="1:7" ht="15.75" customHeight="1" x14ac:dyDescent="0.25">
      <c r="A8" s="2297" t="s">
        <v>2023</v>
      </c>
      <c r="B8" s="2298"/>
      <c r="C8" s="2298"/>
      <c r="D8" s="2298"/>
      <c r="E8" s="2298"/>
      <c r="F8" s="2298"/>
      <c r="G8" s="2299"/>
    </row>
    <row r="9" spans="1:7" ht="35.25" customHeight="1" x14ac:dyDescent="0.25">
      <c r="A9" s="2294" t="s">
        <v>2022</v>
      </c>
      <c r="B9" s="2295"/>
      <c r="C9" s="2295"/>
      <c r="D9" s="2295"/>
      <c r="E9" s="2295"/>
      <c r="F9" s="2295"/>
      <c r="G9" s="2296"/>
    </row>
    <row r="10" spans="1:7" ht="15" customHeight="1" x14ac:dyDescent="0.25">
      <c r="A10" s="1559" t="s">
        <v>1926</v>
      </c>
      <c r="B10" s="1560"/>
      <c r="C10" s="1560"/>
      <c r="D10" s="1560"/>
      <c r="E10" s="1560"/>
      <c r="F10" s="1560"/>
      <c r="G10" s="1561"/>
    </row>
    <row r="11" spans="1:7" ht="17.25" customHeight="1" x14ac:dyDescent="0.25">
      <c r="A11" s="2294" t="s">
        <v>1940</v>
      </c>
      <c r="B11" s="2295"/>
      <c r="C11" s="2295"/>
      <c r="D11" s="2295"/>
      <c r="E11" s="2295"/>
      <c r="F11" s="2295"/>
      <c r="G11" s="2296"/>
    </row>
    <row r="12" spans="1:7" ht="15" customHeight="1" x14ac:dyDescent="0.25">
      <c r="A12" s="1559" t="s">
        <v>1931</v>
      </c>
      <c r="B12" s="1560"/>
      <c r="C12" s="1560"/>
      <c r="D12" s="1560"/>
      <c r="E12" s="1560"/>
      <c r="F12" s="1560"/>
      <c r="G12" s="1561"/>
    </row>
    <row r="13" spans="1:7" ht="32.25" customHeight="1" x14ac:dyDescent="0.25">
      <c r="A13" s="2285" t="s">
        <v>1932</v>
      </c>
      <c r="B13" s="2286"/>
      <c r="C13" s="2286"/>
      <c r="D13" s="2286"/>
      <c r="E13" s="2286"/>
      <c r="F13" s="2286"/>
      <c r="G13" s="2287"/>
    </row>
    <row r="14" spans="1:7" x14ac:dyDescent="0.25">
      <c r="A14" s="1683" t="s">
        <v>1941</v>
      </c>
      <c r="B14" s="1684"/>
      <c r="C14" s="1684"/>
      <c r="D14" s="1684"/>
      <c r="E14" s="1684"/>
      <c r="F14" s="1684"/>
      <c r="G14" s="1685"/>
    </row>
    <row r="15" spans="1:7" ht="61.5" customHeight="1" x14ac:dyDescent="0.25">
      <c r="A15" s="1568" t="s">
        <v>1933</v>
      </c>
      <c r="B15" s="1568" t="s">
        <v>1934</v>
      </c>
      <c r="C15" s="1568" t="s">
        <v>1935</v>
      </c>
      <c r="D15" s="1569" t="s">
        <v>1936</v>
      </c>
      <c r="E15" s="1569" t="s">
        <v>1927</v>
      </c>
      <c r="F15" s="1569" t="s">
        <v>1937</v>
      </c>
      <c r="G15" s="1569" t="s">
        <v>1938</v>
      </c>
    </row>
    <row r="16" spans="1:7" x14ac:dyDescent="0.25">
      <c r="A16" s="1670" t="s">
        <v>1942</v>
      </c>
      <c r="B16" s="1671" t="s">
        <v>1930</v>
      </c>
      <c r="C16" s="1672" t="s">
        <v>1928</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2151</v>
      </c>
      <c r="B17" s="1957" t="s">
        <v>2152</v>
      </c>
      <c r="C17" s="1958" t="s">
        <v>2153</v>
      </c>
      <c r="D17" s="1867">
        <v>3280</v>
      </c>
      <c r="E17" s="1562">
        <f t="shared" ref="E17:E141" si="1">IF(D17&lt;=25000,D17,IF(D17&gt;25000,25000,0))</f>
        <v>3280</v>
      </c>
      <c r="F17" s="1815">
        <f t="shared" si="0"/>
        <v>0</v>
      </c>
      <c r="G17" s="1816">
        <f>IF(F17=0,0,D17-F17)</f>
        <v>0</v>
      </c>
      <c r="H17" s="1669"/>
    </row>
    <row r="18" spans="1:8" x14ac:dyDescent="0.25">
      <c r="A18" s="1956" t="s">
        <v>2154</v>
      </c>
      <c r="B18" s="1957" t="s">
        <v>2162</v>
      </c>
      <c r="C18" s="1958" t="s">
        <v>2155</v>
      </c>
      <c r="D18" s="1867">
        <v>31000</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6000</v>
      </c>
    </row>
    <row r="19" spans="1:8" x14ac:dyDescent="0.25">
      <c r="A19" s="1956" t="s">
        <v>2156</v>
      </c>
      <c r="B19" s="1957" t="s">
        <v>2157</v>
      </c>
      <c r="C19" s="1958" t="s">
        <v>2158</v>
      </c>
      <c r="D19" s="1867">
        <v>5000</v>
      </c>
      <c r="E19" s="1562">
        <f t="shared" si="2"/>
        <v>5000</v>
      </c>
      <c r="F19" s="1815">
        <f t="shared" si="3"/>
        <v>0</v>
      </c>
      <c r="G19" s="1816">
        <f t="shared" si="4"/>
        <v>0</v>
      </c>
    </row>
    <row r="20" spans="1:8" x14ac:dyDescent="0.25">
      <c r="A20" s="1956" t="s">
        <v>2159</v>
      </c>
      <c r="B20" s="1957" t="s">
        <v>2161</v>
      </c>
      <c r="C20" s="1958" t="s">
        <v>2160</v>
      </c>
      <c r="D20" s="1867">
        <v>1997</v>
      </c>
      <c r="E20" s="1562">
        <f t="shared" si="2"/>
        <v>1997</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41277</v>
      </c>
      <c r="E141" s="1563">
        <f t="shared" si="1"/>
        <v>25000</v>
      </c>
      <c r="F141" s="1817">
        <f>SUM(F17:F140)</f>
        <v>25000</v>
      </c>
      <c r="G141" s="1818">
        <f>SUM(G17:G140)</f>
        <v>6000</v>
      </c>
    </row>
  </sheetData>
  <sheetProtection sheet="1" selectLockedCells="1"/>
  <mergeCells count="6">
    <mergeCell ref="A13:G13"/>
    <mergeCell ref="A4:G5"/>
    <mergeCell ref="A11:G11"/>
    <mergeCell ref="A7:G7"/>
    <mergeCell ref="A8:G8"/>
    <mergeCell ref="A9:G9"/>
  </mergeCells>
  <pageMargins left="0.2" right="0.2" top="0.5" bottom="0.5" header="0.3" footer="0.3"/>
  <pageSetup scale="83" firstPageNumber="31" fitToHeight="0" orientation="landscape" useFirstPageNumber="1" r:id="rId1"/>
  <headerFooter scaleWithDoc="0">
    <oddFooter>&amp;LSee notes to financial statements.&amp;C&amp;P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3" colorId="8" zoomScale="97" zoomScaleNormal="97" workbookViewId="0">
      <selection activeCell="C23" sqref="C2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2075</v>
      </c>
      <c r="B10" s="972"/>
      <c r="C10" s="977"/>
      <c r="D10" s="973"/>
      <c r="E10" s="974">
        <v>35775</v>
      </c>
      <c r="F10" s="975"/>
      <c r="G10" s="976"/>
      <c r="H10" s="162"/>
      <c r="I10" s="162"/>
    </row>
    <row r="11" spans="1:9" s="669" customFormat="1" ht="22.5" customHeight="1" x14ac:dyDescent="0.2">
      <c r="A11" s="2305" t="s">
        <v>1944</v>
      </c>
      <c r="B11" s="2306"/>
      <c r="C11" s="2306"/>
      <c r="D11" s="2307"/>
      <c r="E11" s="978">
        <v>3358</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1382527</v>
      </c>
      <c r="F19" s="1822"/>
      <c r="G19" s="1824">
        <f>'Expenditures 15-22'!K33-SUM('Expenditures 15-22'!G33,'Expenditures 15-22'!I33)+'Expenditures 15-22'!D229</f>
        <v>1382527</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109071</v>
      </c>
      <c r="F21" s="1825"/>
      <c r="G21" s="1828">
        <f>'Expenditures 15-22'!K42-SUM('Expenditures 15-22'!G42,'Expenditures 15-22'!I42)+'Expenditures 15-22'!K120-SUM('Expenditures 15-22'!G120,'Expenditures 15-22'!I120)+'Expenditures 15-22'!K180-SUM('Expenditures 15-22'!G180,'Expenditures 15-22'!I180)+'Expenditures 15-22'!D238</f>
        <v>109071</v>
      </c>
      <c r="H21" s="988"/>
      <c r="I21" s="162"/>
    </row>
    <row r="22" spans="1:9" s="669" customFormat="1" ht="12" customHeight="1" x14ac:dyDescent="0.2">
      <c r="A22" s="995" t="s">
        <v>585</v>
      </c>
      <c r="B22" s="996"/>
      <c r="C22" s="994">
        <v>2200</v>
      </c>
      <c r="D22" s="1825"/>
      <c r="E22" s="1827">
        <f>'Expenditures 15-22'!K47-SUM('Expenditures 15-22'!G47,'Expenditures 15-22'!I47)+'Expenditures 15-22'!D243</f>
        <v>0</v>
      </c>
      <c r="F22" s="1825"/>
      <c r="G22" s="1828">
        <f>'Expenditures 15-22'!K47-SUM('Expenditures 15-22'!G47,'Expenditures 15-22'!I47)+'Expenditures 15-22'!D243</f>
        <v>0</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67959</v>
      </c>
      <c r="F23" s="1825"/>
      <c r="G23" s="1827">
        <f>'Expenditures 15-22'!K53-SUM('Expenditures 15-22'!G53,'Expenditures 15-22'!I53)+'Expenditures 15-22'!D257+'Expenditures 15-22'!K330-SUM('Expenditures 15-22'!G330,'Expenditures 15-22'!I330)</f>
        <v>67959</v>
      </c>
      <c r="H23" s="988"/>
      <c r="I23" s="162"/>
    </row>
    <row r="24" spans="1:9" s="669" customFormat="1" ht="12" customHeight="1" x14ac:dyDescent="0.2">
      <c r="A24" s="995" t="s">
        <v>587</v>
      </c>
      <c r="B24" s="996"/>
      <c r="C24" s="994">
        <v>2400</v>
      </c>
      <c r="D24" s="1825"/>
      <c r="E24" s="1827">
        <f>'Expenditures 15-22'!K57-SUM('Expenditures 15-22'!G57,'Expenditures 15-22'!I57)+'Expenditures 15-22'!D261</f>
        <v>211976</v>
      </c>
      <c r="F24" s="1825"/>
      <c r="G24" s="1828">
        <f>'Expenditures 15-22'!K57-SUM('Expenditures 15-22'!G57,'Expenditures 15-22'!I57)+'Expenditures 15-22'!D261</f>
        <v>211976</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93753</v>
      </c>
      <c r="E27" s="1827">
        <f>E8</f>
        <v>0</v>
      </c>
      <c r="F27" s="1827">
        <f>'Expenditures 15-22'!K60-SUM('Expenditures 15-22'!G60,'Expenditures 15-22'!I60)+'Expenditures 15-22'!D264-E8</f>
        <v>93753</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247072</v>
      </c>
      <c r="F28" s="1829">
        <f>'Expenditures 15-22'!K61-SUM('Expenditures 15-22'!G61,'Expenditures 15-22'!I61)+'Expenditures 15-22'!K124-SUM('Expenditures 15-22'!G124,'Expenditures 15-22'!I124)+'Expenditures 15-22'!D266-E9</f>
        <v>247072</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148485</v>
      </c>
      <c r="F29" s="1825"/>
      <c r="G29" s="1828">
        <f>'Expenditures 15-22'!K62-SUM('Expenditures 15-22'!G62,'Expenditures 15-22'!I62)+'Expenditures 15-22'!K125-SUM('Expenditures 15-22'!G125,'Expenditures 15-22'!I125)+'Expenditures 15-22'!K182-SUM('Expenditures 15-22'!G182,'Expenditures 15-22'!I182)+'Expenditures 15-22'!D267</f>
        <v>148485</v>
      </c>
      <c r="H29" s="986"/>
    </row>
    <row r="30" spans="1:9" ht="12" customHeight="1" x14ac:dyDescent="0.2">
      <c r="A30" s="995" t="s">
        <v>102</v>
      </c>
      <c r="B30" s="998"/>
      <c r="C30" s="994">
        <v>2560</v>
      </c>
      <c r="D30" s="1825"/>
      <c r="E30" s="1827">
        <f>'Expenditures 15-22'!K63-SUM('Expenditures 15-22'!G63,'Expenditures 15-22'!I63)+'Expenditures 15-22'!D268-E10</f>
        <v>32392</v>
      </c>
      <c r="F30" s="1825"/>
      <c r="G30" s="1827">
        <f>'Expenditures 15-22'!K63-SUM('Expenditures 15-22'!G63,'Expenditures 15-22'!I63)+'Expenditures 15-22'!D268-E10</f>
        <v>32392</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5196</v>
      </c>
      <c r="E36" s="1827">
        <f>E13</f>
        <v>0</v>
      </c>
      <c r="F36" s="1827">
        <f>'Expenditures 15-22'!K70-SUM('Expenditures 15-22'!G70,'Expenditures 15-22'!I70)+'Expenditures 15-22'!D275-E13</f>
        <v>5196</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1929</v>
      </c>
      <c r="B40" s="992"/>
      <c r="C40" s="994"/>
      <c r="D40" s="1825"/>
      <c r="E40" s="1829">
        <f>-'Contracts Paid in CY 29'!G141</f>
        <v>-6000</v>
      </c>
      <c r="F40" s="1825"/>
      <c r="G40" s="1829">
        <f>-'Contracts Paid in CY 29'!G141</f>
        <v>-6000</v>
      </c>
    </row>
    <row r="41" spans="1:7" ht="12" customHeight="1" x14ac:dyDescent="0.2">
      <c r="A41" s="999" t="s">
        <v>158</v>
      </c>
      <c r="B41" s="1000"/>
      <c r="C41" s="1001"/>
      <c r="D41" s="1829">
        <f>SUM(D19:D39)</f>
        <v>98949</v>
      </c>
      <c r="E41" s="1829">
        <f>SUM(E19:E40)</f>
        <v>2193482</v>
      </c>
      <c r="F41" s="1829">
        <f>SUM(F19:F39)</f>
        <v>346021</v>
      </c>
      <c r="G41" s="1829">
        <f>SUM(G19:G40)</f>
        <v>1946410</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98949</v>
      </c>
      <c r="F43" s="1830" t="s">
        <v>495</v>
      </c>
      <c r="G43" s="1831">
        <f>F41</f>
        <v>346021</v>
      </c>
    </row>
    <row r="44" spans="1:7" ht="12" customHeight="1" x14ac:dyDescent="0.2">
      <c r="A44" s="988"/>
      <c r="B44" s="162"/>
      <c r="C44" s="1002"/>
      <c r="D44" s="1830" t="s">
        <v>494</v>
      </c>
      <c r="E44" s="1831">
        <f>E41</f>
        <v>2193482</v>
      </c>
      <c r="F44" s="1830" t="s">
        <v>494</v>
      </c>
      <c r="G44" s="1831">
        <f>G41</f>
        <v>1946410</v>
      </c>
    </row>
    <row r="45" spans="1:7" ht="12" customHeight="1" x14ac:dyDescent="0.2">
      <c r="A45" s="988"/>
      <c r="B45" s="162"/>
      <c r="C45" s="162"/>
      <c r="D45" s="1832" t="s">
        <v>1063</v>
      </c>
      <c r="E45" s="1833">
        <f>(E43/E44)</f>
        <v>4.5110468196228645E-2</v>
      </c>
      <c r="F45" s="1832" t="s">
        <v>1063</v>
      </c>
      <c r="G45" s="1833">
        <f>(G43/G44)</f>
        <v>0.17777395307257979</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0.25" right="0.25" top="0.65" bottom="0.5" header="0.5" footer="0.25"/>
  <pageSetup scale="85" firstPageNumber="35" orientation="landscape" useFirstPageNumber="1" r:id="rId1"/>
  <headerFooter scaleWithDoc="0">
    <oddFooter>&amp;LSee notes to financial statements.&amp;C&amp;P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7" sqref="A7:D7"/>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2" t="s">
        <v>1446</v>
      </c>
      <c r="B1" s="2322"/>
      <c r="C1" s="2322"/>
      <c r="D1" s="2322"/>
      <c r="E1" s="2322"/>
      <c r="F1" s="2322"/>
    </row>
    <row r="2" spans="1:10" x14ac:dyDescent="0.2">
      <c r="A2" s="1912" t="s">
        <v>2047</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3" t="s">
        <v>1627</v>
      </c>
      <c r="B5" s="2324"/>
      <c r="C5" s="2325"/>
      <c r="D5" s="2325"/>
      <c r="E5" s="2325"/>
      <c r="F5" s="2325"/>
    </row>
    <row r="6" spans="1:10" ht="12" customHeight="1" x14ac:dyDescent="0.25">
      <c r="A6" s="1875"/>
      <c r="B6" s="1876"/>
      <c r="C6" s="2326" t="str">
        <f>COVER!A17</f>
        <v>Career Center of Southern Illinois</v>
      </c>
      <c r="D6" s="2326"/>
      <c r="E6" s="2326"/>
      <c r="F6" s="1877"/>
    </row>
    <row r="7" spans="1:10" ht="11.25" customHeight="1" thickBot="1" x14ac:dyDescent="0.3">
      <c r="A7" s="1875"/>
      <c r="B7" s="1876"/>
      <c r="C7" s="2327">
        <f>COVER!A13</f>
        <v>45000000040</v>
      </c>
      <c r="D7" s="2327"/>
      <c r="E7" s="2327"/>
      <c r="F7" s="1877"/>
    </row>
    <row r="8" spans="1:10" ht="25.5" customHeight="1" thickBot="1" x14ac:dyDescent="0.25">
      <c r="A8" s="1918" t="s">
        <v>2024</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c r="D26" s="1890"/>
      <c r="E26" s="1893"/>
      <c r="F26" s="1892"/>
      <c r="H26" s="1903">
        <f t="shared" si="0"/>
        <v>0</v>
      </c>
      <c r="I26" s="1903">
        <f t="shared" si="1"/>
        <v>0</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t="s">
        <v>2097</v>
      </c>
      <c r="D29" s="1890" t="s">
        <v>2097</v>
      </c>
      <c r="E29" s="1893" t="s">
        <v>2098</v>
      </c>
      <c r="F29" s="1892" t="s">
        <v>2099</v>
      </c>
      <c r="H29" s="1903">
        <f t="shared" si="0"/>
        <v>5</v>
      </c>
      <c r="I29" s="1903">
        <f t="shared" si="1"/>
        <v>5</v>
      </c>
      <c r="J29" s="1903">
        <f t="shared" si="2"/>
        <v>0</v>
      </c>
    </row>
    <row r="30" spans="1:12" ht="12" customHeight="1" x14ac:dyDescent="0.2">
      <c r="A30" s="1888" t="s">
        <v>1619</v>
      </c>
      <c r="B30" s="1889"/>
      <c r="C30" s="1890" t="s">
        <v>2097</v>
      </c>
      <c r="D30" s="1890" t="s">
        <v>2097</v>
      </c>
      <c r="E30" s="1893" t="s">
        <v>2098</v>
      </c>
      <c r="F30" s="1892" t="s">
        <v>2100</v>
      </c>
      <c r="H30" s="1903">
        <f t="shared" si="0"/>
        <v>5</v>
      </c>
      <c r="I30" s="1903">
        <f t="shared" si="1"/>
        <v>5</v>
      </c>
      <c r="J30" s="1903">
        <f t="shared" si="2"/>
        <v>0</v>
      </c>
    </row>
    <row r="31" spans="1:12" ht="12" customHeight="1" x14ac:dyDescent="0.2">
      <c r="A31" s="1888" t="s">
        <v>1620</v>
      </c>
      <c r="B31" s="1889"/>
      <c r="C31" s="1890" t="s">
        <v>2097</v>
      </c>
      <c r="D31" s="1890" t="s">
        <v>2097</v>
      </c>
      <c r="E31" s="1893" t="s">
        <v>2098</v>
      </c>
      <c r="F31" s="1892" t="s">
        <v>2102</v>
      </c>
      <c r="H31" s="1903">
        <f t="shared" si="0"/>
        <v>5</v>
      </c>
      <c r="I31" s="1903">
        <f t="shared" si="1"/>
        <v>5</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15</v>
      </c>
      <c r="I34" s="1903">
        <f>SUM(I11:I32)</f>
        <v>15</v>
      </c>
      <c r="J34" s="1903">
        <f>SUM(J11:J32)</f>
        <v>0</v>
      </c>
      <c r="K34" s="1903">
        <f>SUM(H34:J34)</f>
        <v>30</v>
      </c>
    </row>
    <row r="35" spans="1:11" ht="12" customHeight="1" x14ac:dyDescent="0.2">
      <c r="A35" s="1896" t="s">
        <v>1459</v>
      </c>
      <c r="B35" s="1897"/>
      <c r="C35" s="2328"/>
      <c r="D35" s="2328"/>
      <c r="E35" s="2328"/>
      <c r="F35" s="2329"/>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14"/>
      <c r="B38" s="2315"/>
      <c r="C38" s="2315"/>
      <c r="D38" s="2315"/>
      <c r="E38" s="2315"/>
      <c r="F38" s="2316"/>
    </row>
    <row r="39" spans="1:11" ht="4.5" hidden="1" customHeight="1" x14ac:dyDescent="0.2">
      <c r="A39" s="1898"/>
      <c r="B39" s="1898"/>
      <c r="C39" s="1898"/>
      <c r="D39" s="1898"/>
      <c r="E39" s="1898"/>
      <c r="F39" s="1898"/>
    </row>
    <row r="40" spans="1:11" s="1895" customFormat="1" ht="12" customHeight="1" x14ac:dyDescent="0.25">
      <c r="A40" s="1899" t="s">
        <v>1458</v>
      </c>
      <c r="B40" s="1900"/>
      <c r="C40" s="2317"/>
      <c r="D40" s="2317"/>
      <c r="E40" s="2317"/>
      <c r="F40" s="2318"/>
      <c r="H40" s="1904"/>
      <c r="I40" s="1904"/>
      <c r="J40" s="1904"/>
      <c r="K40" s="1904"/>
    </row>
    <row r="41" spans="1:11" s="1895" customFormat="1" ht="12" customHeight="1" x14ac:dyDescent="0.25">
      <c r="A41" s="2319" t="s">
        <v>2101</v>
      </c>
      <c r="B41" s="2320"/>
      <c r="C41" s="2320"/>
      <c r="D41" s="2320"/>
      <c r="E41" s="2320"/>
      <c r="F41" s="2321"/>
      <c r="H41" s="1904"/>
      <c r="I41" s="1904"/>
      <c r="J41" s="1904"/>
      <c r="K41" s="1904"/>
    </row>
    <row r="42" spans="1:11" s="1895" customFormat="1" ht="12" customHeight="1" x14ac:dyDescent="0.25">
      <c r="A42" s="2319" t="s">
        <v>2103</v>
      </c>
      <c r="B42" s="2320"/>
      <c r="C42" s="2320"/>
      <c r="D42" s="2320"/>
      <c r="E42" s="2320"/>
      <c r="F42" s="2321"/>
      <c r="H42" s="1904"/>
      <c r="I42" s="1904"/>
      <c r="J42" s="1904"/>
      <c r="K42" s="1904"/>
    </row>
    <row r="43" spans="1:11" s="1895" customFormat="1" ht="15" x14ac:dyDescent="0.25">
      <c r="A43" s="2308" t="s">
        <v>2104</v>
      </c>
      <c r="B43" s="2309"/>
      <c r="C43" s="2309"/>
      <c r="D43" s="2309"/>
      <c r="E43" s="2309"/>
      <c r="F43" s="2310"/>
      <c r="H43" s="1904"/>
      <c r="I43" s="1904"/>
      <c r="J43" s="1904"/>
      <c r="K43" s="1904"/>
    </row>
    <row r="44" spans="1:11" s="1895" customFormat="1" ht="12" hidden="1" customHeight="1" x14ac:dyDescent="0.25">
      <c r="A44" s="2308"/>
      <c r="B44" s="2309"/>
      <c r="C44" s="2309"/>
      <c r="D44" s="2309"/>
      <c r="E44" s="2309"/>
      <c r="F44" s="2310"/>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15" right="0.15" top="0.65" bottom="0.25" header="0.25" footer="0.5"/>
  <pageSetup scale="70" firstPageNumber="36" orientation="landscape" useFirstPageNumber="1" r:id="rId1"/>
  <headerFooter scaleWithDoc="0">
    <oddFooter>&amp;LSee notes to financial statements.&amp;C&amp;P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16" colorId="8" zoomScale="110" zoomScaleNormal="110" workbookViewId="0">
      <selection activeCell="L19" sqref="L19"/>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5" t="str">
        <f>COVER!A17</f>
        <v>Career Center of Southern Illinois</v>
      </c>
      <c r="J6" s="2336"/>
      <c r="Q6" s="1686"/>
    </row>
    <row r="7" spans="1:17" x14ac:dyDescent="0.2">
      <c r="A7" s="2337" t="s">
        <v>924</v>
      </c>
      <c r="B7" s="2338"/>
      <c r="C7" s="2338"/>
      <c r="D7" s="2338"/>
      <c r="E7" s="2339"/>
      <c r="F7" s="1018"/>
      <c r="G7" s="1010"/>
      <c r="H7" s="1017" t="s">
        <v>390</v>
      </c>
      <c r="I7" s="2340">
        <f>COVER!A13</f>
        <v>45000000040</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0</v>
      </c>
      <c r="F12" s="1040"/>
      <c r="G12" s="1834">
        <f t="shared" ref="G12:G18" si="0">SUM(E12:F12)</f>
        <v>0</v>
      </c>
      <c r="H12" s="1041"/>
      <c r="I12" s="1040"/>
      <c r="J12" s="1834">
        <f t="shared" ref="J12:J18" si="1">SUM(H12:I12)</f>
        <v>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0</v>
      </c>
      <c r="F19" s="1836">
        <f t="shared" si="2"/>
        <v>0</v>
      </c>
      <c r="G19" s="1836">
        <f t="shared" si="2"/>
        <v>0</v>
      </c>
      <c r="H19" s="1836">
        <f t="shared" si="2"/>
        <v>0</v>
      </c>
      <c r="I19" s="1836">
        <f t="shared" si="2"/>
        <v>0</v>
      </c>
      <c r="J19" s="1836">
        <f t="shared" si="2"/>
        <v>0</v>
      </c>
    </row>
    <row r="20" spans="1:10" ht="13.5" thickTop="1" x14ac:dyDescent="0.2">
      <c r="A20" s="1036">
        <v>9</v>
      </c>
      <c r="B20" s="2347" t="s">
        <v>1703</v>
      </c>
      <c r="C20" s="2347"/>
      <c r="D20" s="2348"/>
      <c r="E20" s="1047"/>
      <c r="F20" s="1047"/>
      <c r="G20" s="1047"/>
      <c r="H20" s="1047"/>
      <c r="I20" s="1047"/>
      <c r="J20" s="1837" t="str">
        <f>IF(AND(G19&gt;0,J19&gt;0),(((J19-G19)/G19)),"Enter Budget Data")</f>
        <v>Enter Budget Data</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1943</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25" right="0.25" top="1" bottom="0.5" header="0.5" footer="0.25"/>
  <pageSetup scale="90" firstPageNumber="37" orientation="landscape" useFirstPageNumber="1" r:id="rId1"/>
  <headerFooter scaleWithDoc="0">
    <oddHeader xml:space="preserve">&amp;C </oddHeader>
    <oddFooter>&amp;LSee notes to financial statements.&amp;C&amp;P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B63"/>
  <sheetViews>
    <sheetView showGridLines="0" zoomScale="110" zoomScaleNormal="110" workbookViewId="0">
      <selection activeCell="B12" sqref="B12"/>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2105</v>
      </c>
    </row>
    <row r="6" spans="1:2" x14ac:dyDescent="0.2">
      <c r="A6" s="1069">
        <v>2</v>
      </c>
      <c r="B6" s="329" t="s">
        <v>2106</v>
      </c>
    </row>
    <row r="7" spans="1:2" x14ac:dyDescent="0.2">
      <c r="A7" s="1069">
        <v>3</v>
      </c>
      <c r="B7" s="329" t="s">
        <v>2107</v>
      </c>
    </row>
    <row r="8" spans="1:2" x14ac:dyDescent="0.2">
      <c r="A8" s="1069">
        <v>4</v>
      </c>
      <c r="B8" s="329" t="s">
        <v>2108</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c r="B62" s="258" t="str">
        <f>COVER!A17</f>
        <v>Career Center of Southern Illinois</v>
      </c>
    </row>
    <row r="63" spans="1:2" x14ac:dyDescent="0.2">
      <c r="B63" s="1071">
        <f>COVER!A13</f>
        <v>45000000040</v>
      </c>
    </row>
  </sheetData>
  <phoneticPr fontId="13" type="noConversion"/>
  <pageMargins left="0.2" right="0.2" top="1.17" bottom="0.75" header="0.25" footer="0.25"/>
  <pageSetup scale="69" firstPageNumber="38" orientation="portrait" useFirstPageNumber="1" r:id="rId1"/>
  <headerFooter scaleWithDoc="0">
    <oddFooter>&amp;LSee notes to financial statements.&amp;C&amp;P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4"/>
  <sheetViews>
    <sheetView showGridLines="0" zoomScale="110" zoomScaleNormal="110" workbookViewId="0">
      <selection activeCell="E34" sqref="A1:E34"/>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7" t="s">
        <v>1878</v>
      </c>
    </row>
    <row r="60" spans="1:3" x14ac:dyDescent="0.2">
      <c r="A60" s="196"/>
      <c r="B60" s="1507" t="s">
        <v>1879</v>
      </c>
    </row>
    <row r="61" spans="1:3" ht="6" customHeight="1" x14ac:dyDescent="0.2">
      <c r="A61" s="197"/>
      <c r="B61" s="189"/>
    </row>
    <row r="62" spans="1:3" x14ac:dyDescent="0.2">
      <c r="A62" s="169" t="s">
        <v>1714</v>
      </c>
      <c r="B62" s="198" t="s">
        <v>1875</v>
      </c>
    </row>
    <row r="63" spans="1:3" x14ac:dyDescent="0.2">
      <c r="A63" s="188"/>
      <c r="B63" s="169" t="s">
        <v>1890</v>
      </c>
    </row>
    <row r="64" spans="1:3" x14ac:dyDescent="0.2">
      <c r="A64" s="195"/>
      <c r="B64" s="1509"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8" t="s">
        <v>1717</v>
      </c>
    </row>
    <row r="72" spans="1:9" ht="9" customHeight="1" x14ac:dyDescent="0.2">
      <c r="A72" s="192"/>
      <c r="B72" s="199"/>
    </row>
    <row r="73" spans="1:9" x14ac:dyDescent="0.2">
      <c r="A73" s="189" t="s">
        <v>1718</v>
      </c>
      <c r="B73" s="169" t="s">
        <v>1886</v>
      </c>
    </row>
    <row r="74" spans="1:9" x14ac:dyDescent="0.2">
      <c r="A74" s="189"/>
      <c r="B74" s="169" t="s">
        <v>1885</v>
      </c>
    </row>
    <row r="75" spans="1:9" ht="8.25" customHeight="1" x14ac:dyDescent="0.2">
      <c r="A75" s="189"/>
      <c r="B75" s="189"/>
    </row>
    <row r="76" spans="1:9" ht="12.2" customHeight="1" x14ac:dyDescent="0.2">
      <c r="A76" s="189" t="s">
        <v>1719</v>
      </c>
      <c r="B76" s="198" t="s">
        <v>1887</v>
      </c>
    </row>
    <row r="77" spans="1:9" ht="12.2" customHeight="1" x14ac:dyDescent="0.2">
      <c r="A77" s="190"/>
      <c r="B77" s="169" t="s">
        <v>1720</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rintOptions horizontalCentered="1"/>
  <pageMargins left="0.7" right="0.7" top="0.75" bottom="0.75" header="0.3" footer="0.3"/>
  <pageSetup scale="72" firstPageNumber="4" fitToHeight="0" orientation="portrait" useFirstPageNumber="1"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4" sqref="C2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40"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3" type="noConversion"/>
  <pageMargins left="0.75" right="0.75" top="1" bottom="1" header="0.5" footer="0.5"/>
  <pageSetup firstPageNumber="41"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H48"/>
  <sheetViews>
    <sheetView showGridLines="0" showZeros="0" zoomScale="110" zoomScaleNormal="110" workbookViewId="0">
      <selection activeCell="H28" sqref="H28"/>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2055</v>
      </c>
      <c r="B4" s="2375"/>
      <c r="C4" s="2375"/>
      <c r="D4" s="2375"/>
      <c r="E4" s="2375"/>
      <c r="F4" s="2376"/>
      <c r="G4" s="1075"/>
      <c r="H4" s="1075"/>
    </row>
    <row r="5" spans="1:8" ht="14.25" customHeight="1" x14ac:dyDescent="0.2">
      <c r="A5" s="2377" t="s">
        <v>2056</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3685993</v>
      </c>
      <c r="C8" s="1838">
        <f>'Acct Summary 7-8'!D8</f>
        <v>0</v>
      </c>
      <c r="D8" s="1838">
        <f>'Acct Summary 7-8'!F8</f>
        <v>133260</v>
      </c>
      <c r="E8" s="1838">
        <f>'Acct Summary 7-8'!I8</f>
        <v>0</v>
      </c>
      <c r="F8" s="1838">
        <f>SUM(B8:E8)</f>
        <v>3819253</v>
      </c>
    </row>
    <row r="9" spans="1:8" s="1080" customFormat="1" ht="14.25" customHeight="1" thickBot="1" x14ac:dyDescent="0.25">
      <c r="A9" s="1079" t="s">
        <v>1436</v>
      </c>
      <c r="B9" s="1839">
        <f>'Acct Summary 7-8'!C17</f>
        <v>2202505</v>
      </c>
      <c r="C9" s="1839">
        <f>'Acct Summary 7-8'!D17</f>
        <v>0</v>
      </c>
      <c r="D9" s="1839">
        <f>'Acct Summary 7-8'!F17</f>
        <v>148485</v>
      </c>
      <c r="E9" s="1838"/>
      <c r="F9" s="1838">
        <f>SUM(B9:E9)</f>
        <v>2350990</v>
      </c>
    </row>
    <row r="10" spans="1:8" s="1080" customFormat="1" ht="14.25" thickTop="1" thickBot="1" x14ac:dyDescent="0.25">
      <c r="A10" s="1081" t="s">
        <v>1437</v>
      </c>
      <c r="B10" s="1840">
        <f>(B8-B9)</f>
        <v>1483488</v>
      </c>
      <c r="C10" s="1840">
        <f>(C8-C9)</f>
        <v>0</v>
      </c>
      <c r="D10" s="1840">
        <f>(D8-D9)</f>
        <v>-15225</v>
      </c>
      <c r="E10" s="1839">
        <f>(E8-E9)</f>
        <v>0</v>
      </c>
      <c r="F10" s="1841">
        <f>SUM(F8-F9)</f>
        <v>1468263</v>
      </c>
    </row>
    <row r="11" spans="1:8" s="1080" customFormat="1" ht="14.25" thickTop="1" thickBot="1" x14ac:dyDescent="0.25">
      <c r="A11" s="1082" t="s">
        <v>1785</v>
      </c>
      <c r="B11" s="1842">
        <f>'Acct Summary 7-8'!C81</f>
        <v>582199</v>
      </c>
      <c r="C11" s="1842">
        <f>'Acct Summary 7-8'!D81</f>
        <v>0</v>
      </c>
      <c r="D11" s="1842">
        <f>'Acct Summary 7-8'!F81</f>
        <v>8382</v>
      </c>
      <c r="E11" s="1842">
        <f>'Acct Summary 7-8'!I81</f>
        <v>0</v>
      </c>
      <c r="F11" s="1843">
        <f>SUM(B11:E11)</f>
        <v>590581</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5" right="0.5" top="1" bottom="0.5" header="0.75" footer="0.5"/>
  <pageSetup scale="93" firstPageNumber="39" fitToHeight="0" orientation="landscape" useFirstPageNumber="1" r:id="rId1"/>
  <headerFooter scaleWithDoc="0">
    <oddFooter>&amp;LSee notes to financial statements.&amp;C&amp;P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Normal="10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2048</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 xml:space="preserve">ACCRUAL </v>
      </c>
    </row>
    <row r="24" spans="1:10" ht="12.2" customHeight="1" x14ac:dyDescent="0.2">
      <c r="A24" s="1140"/>
      <c r="B24" s="1141"/>
      <c r="C24" s="1142" t="s">
        <v>1399</v>
      </c>
      <c r="D24" s="1143" t="str">
        <f>IF(COVER!O11="X","OK",IF(AND('Aud Quest 2'!J90=0,'Aud Quest 2'!I77&lt;DATE(2017,12,31)),"ENTER ACCOUNTING INFO",IF(AND('Aud Quest 2'!J90&gt;0,'Aud Quest 2'!I77&lt;DATE(2017,12,31)),"OK")))</f>
        <v>ENTER ACCOUNTING INFO</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2049</v>
      </c>
      <c r="D66" s="1126"/>
    </row>
    <row r="67" spans="1:4" x14ac:dyDescent="0.2">
      <c r="A67" s="1120"/>
      <c r="B67" s="1141"/>
      <c r="C67" s="1148" t="s">
        <v>1079</v>
      </c>
      <c r="D67" s="1126"/>
    </row>
    <row r="68" spans="1:4" x14ac:dyDescent="0.2">
      <c r="A68" s="1101"/>
      <c r="B68" s="1111"/>
      <c r="C68" s="1103" t="s">
        <v>2050</v>
      </c>
      <c r="D68" s="1125" t="str">
        <f>IF('Short-Term Long-Term Debt 24'!F49=SUM(,'Acct Summary 7-8'!C33:K33),"OK","ERROR!")</f>
        <v>OK</v>
      </c>
    </row>
    <row r="69" spans="1:4" x14ac:dyDescent="0.2">
      <c r="A69" s="1101"/>
      <c r="B69" s="1111"/>
      <c r="C69" s="1103" t="s">
        <v>2051</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2052</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2053</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2054</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 right="0.25" top="0.5" bottom="0.5" header="0.25" footer="0.25"/>
  <pageSetup scale="69" firstPageNumber="40" orientation="portrait" useFirstPageNumber="1" r:id="rId1"/>
  <headerFooter scaleWithDoc="0">
    <oddFooter>&amp;LSee notes to financial statements.&amp;C&amp;P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45000000040</v>
      </c>
    </row>
    <row r="3" spans="1:2" x14ac:dyDescent="0.2">
      <c r="A3" t="s">
        <v>1013</v>
      </c>
      <c r="B3" s="138" t="str">
        <f>COVER!A15</f>
        <v>Randolph</v>
      </c>
    </row>
    <row r="4" spans="1:2" x14ac:dyDescent="0.2">
      <c r="A4" t="s">
        <v>1064</v>
      </c>
      <c r="B4" s="138" t="str">
        <f>COVER!A17</f>
        <v>Career Center of Southern Illinois</v>
      </c>
    </row>
    <row r="5" spans="1:2" x14ac:dyDescent="0.2">
      <c r="A5" t="s">
        <v>728</v>
      </c>
      <c r="B5" s="138" t="str">
        <f>COVER!A38</f>
        <v>Mark Stuart</v>
      </c>
    </row>
    <row r="6" spans="1:2" x14ac:dyDescent="0.2">
      <c r="A6" t="s">
        <v>733</v>
      </c>
      <c r="B6" s="138">
        <f>COVER!P35</f>
        <v>0</v>
      </c>
    </row>
    <row r="7" spans="1:2" x14ac:dyDescent="0.2">
      <c r="A7" t="s">
        <v>729</v>
      </c>
      <c r="B7" s="138">
        <f>COVER!I38</f>
        <v>0</v>
      </c>
    </row>
    <row r="8" spans="1:2" x14ac:dyDescent="0.2">
      <c r="A8" t="s">
        <v>730</v>
      </c>
      <c r="B8" s="138" t="str">
        <f>COVER!T38</f>
        <v>Kelton Davis</v>
      </c>
    </row>
    <row r="9" spans="1:2" x14ac:dyDescent="0.2">
      <c r="A9" s="3" t="s">
        <v>1014</v>
      </c>
      <c r="B9" s="158" t="str">
        <f>AUDITCHECK!D23</f>
        <v xml:space="preserve">ACCRUAL </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065-026956</v>
      </c>
    </row>
    <row r="16" spans="1:2" x14ac:dyDescent="0.2">
      <c r="A16" t="s">
        <v>442</v>
      </c>
      <c r="B16" s="138" t="str">
        <f>COVER!T13</f>
        <v xml:space="preserve">Scheffel Boyle </v>
      </c>
    </row>
    <row r="17" spans="1:2" x14ac:dyDescent="0.2">
      <c r="A17" t="s">
        <v>939</v>
      </c>
      <c r="B17" s="138" t="str">
        <f>COVER!T15</f>
        <v>Dale Holtmann</v>
      </c>
    </row>
    <row r="18" spans="1:2" x14ac:dyDescent="0.2">
      <c r="A18" t="s">
        <v>1212</v>
      </c>
      <c r="B18" s="138" t="str">
        <f>COVER!T17</f>
        <v xml:space="preserve">222 East Main Street </v>
      </c>
    </row>
    <row r="19" spans="1:2" x14ac:dyDescent="0.2">
      <c r="A19" t="s">
        <v>941</v>
      </c>
      <c r="B19" s="138" t="str">
        <f>COVER!T25</f>
        <v>dale.holtmann@scheffelboyle.com</v>
      </c>
    </row>
    <row r="20" spans="1:2" x14ac:dyDescent="0.2">
      <c r="A20" t="s">
        <v>942</v>
      </c>
      <c r="B20" s="138" t="str">
        <f>COVER!T19</f>
        <v>Bellleville</v>
      </c>
    </row>
    <row r="21" spans="1:2" x14ac:dyDescent="0.2">
      <c r="A21" t="s">
        <v>500</v>
      </c>
      <c r="B21" s="138" t="str">
        <f>COVER!X19</f>
        <v xml:space="preserve">IL </v>
      </c>
    </row>
    <row r="22" spans="1:2" x14ac:dyDescent="0.2">
      <c r="A22" t="s">
        <v>943</v>
      </c>
      <c r="B22" s="138">
        <f>COVER!Z19</f>
        <v>62220</v>
      </c>
    </row>
    <row r="23" spans="1:2" x14ac:dyDescent="0.2">
      <c r="A23" t="s">
        <v>1214</v>
      </c>
      <c r="B23" s="138" t="str">
        <f>COVER!T21</f>
        <v>618-277-8100</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t="str">
        <f>COVER!U34</f>
        <v>X</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597151</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8669</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14952</v>
      </c>
      <c r="C91" s="2" t="s">
        <v>594</v>
      </c>
      <c r="D91" s="2" t="str">
        <f t="shared" si="0"/>
        <v>Error?</v>
      </c>
    </row>
    <row r="92" spans="1:4" x14ac:dyDescent="0.2">
      <c r="A92" s="5">
        <v>31</v>
      </c>
      <c r="B92" s="138">
        <f>'Assets-Liab 5-6'!C39</f>
        <v>582199</v>
      </c>
      <c r="D92" s="2" t="str">
        <f t="shared" si="0"/>
        <v>Error?</v>
      </c>
    </row>
    <row r="93" spans="1:4" x14ac:dyDescent="0.2">
      <c r="A93" s="5">
        <v>32</v>
      </c>
      <c r="B93" s="138">
        <f>'Assets-Liab 5-6'!C41</f>
        <v>597151</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23607</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15225</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23607</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v>
      </c>
      <c r="D273" s="2" t="str">
        <f t="shared" si="3"/>
        <v>Error?</v>
      </c>
    </row>
    <row r="274" spans="1:4" x14ac:dyDescent="0.2">
      <c r="A274" s="5">
        <v>213</v>
      </c>
      <c r="B274" s="138">
        <f>'Assets-Liab 5-6'!M17</f>
        <v>884403</v>
      </c>
      <c r="D274" s="2" t="str">
        <f t="shared" si="3"/>
        <v>Error?</v>
      </c>
    </row>
    <row r="275" spans="1:4" x14ac:dyDescent="0.2">
      <c r="A275" s="5">
        <v>214</v>
      </c>
      <c r="B275" s="138">
        <f>'Assets-Liab 5-6'!M18</f>
        <v>25215</v>
      </c>
      <c r="D275" s="2" t="str">
        <f t="shared" si="3"/>
        <v>Error?</v>
      </c>
    </row>
    <row r="276" spans="1:4" x14ac:dyDescent="0.2">
      <c r="A276" s="5">
        <v>215</v>
      </c>
      <c r="B276" s="138">
        <f>'Assets-Liab 5-6'!M19</f>
        <v>65084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974703</v>
      </c>
      <c r="C279" s="2" t="s">
        <v>594</v>
      </c>
      <c r="D279" s="2" t="str">
        <f t="shared" si="3"/>
        <v>Error?</v>
      </c>
    </row>
    <row r="280" spans="1:4" x14ac:dyDescent="0.2">
      <c r="A280" s="5">
        <v>219</v>
      </c>
      <c r="B280" s="138">
        <f>'Assets-Liab 5-6'!M40</f>
        <v>974703</v>
      </c>
      <c r="D280" s="2" t="str">
        <f t="shared" si="3"/>
        <v>Error?</v>
      </c>
    </row>
    <row r="281" spans="1:4" x14ac:dyDescent="0.2">
      <c r="A281" s="5">
        <v>220</v>
      </c>
      <c r="B281" s="138">
        <f>'Assets-Liab 5-6'!M41</f>
        <v>974703</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419735</v>
      </c>
      <c r="D716" s="2" t="str">
        <f t="shared" si="10"/>
        <v>Error?</v>
      </c>
    </row>
    <row r="717" spans="1:4" x14ac:dyDescent="0.2">
      <c r="A717" s="5">
        <v>656</v>
      </c>
      <c r="B717" s="138">
        <f>'Expenditures 15-22'!C13</f>
        <v>421134</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840869</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80904</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80904</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0</v>
      </c>
      <c r="C734" s="2" t="s">
        <v>594</v>
      </c>
      <c r="D734" s="2" t="str">
        <f t="shared" si="10"/>
        <v>Error?</v>
      </c>
    </row>
    <row r="735" spans="1:4" x14ac:dyDescent="0.2">
      <c r="A735" s="5">
        <v>674</v>
      </c>
      <c r="B735" s="138">
        <f>'Expenditures 15-22'!C55</f>
        <v>150653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150653</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58875</v>
      </c>
      <c r="D739" s="2" t="str">
        <f t="shared" si="10"/>
        <v>Error?</v>
      </c>
    </row>
    <row r="740" spans="1:4" x14ac:dyDescent="0.2">
      <c r="A740" s="5">
        <v>679</v>
      </c>
      <c r="B740" s="138">
        <f>'Expenditures 15-22'!C61</f>
        <v>82286</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28580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169741</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4827</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4827</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406125</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1246994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105645</v>
      </c>
      <c r="D774" s="2" t="str">
        <f t="shared" si="11"/>
        <v>Error?</v>
      </c>
    </row>
    <row r="775" spans="1:4" x14ac:dyDescent="0.2">
      <c r="A775" s="5">
        <v>714</v>
      </c>
      <c r="B775" s="138">
        <f>'Expenditures 15-22'!D13</f>
        <v>150306</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255951</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27084</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27084</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0</v>
      </c>
      <c r="C792" s="2" t="s">
        <v>594</v>
      </c>
      <c r="D792" s="2" t="str">
        <f t="shared" si="11"/>
        <v>Error?</v>
      </c>
    </row>
    <row r="793" spans="1:4" x14ac:dyDescent="0.2">
      <c r="A793" s="5">
        <v>732</v>
      </c>
      <c r="B793" s="138">
        <f>'Expenditures 15-22'!D55</f>
        <v>56108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56108</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33475</v>
      </c>
      <c r="D797" s="2" t="str">
        <f t="shared" si="11"/>
        <v>Error?</v>
      </c>
    </row>
    <row r="798" spans="1:4" x14ac:dyDescent="0.2">
      <c r="A798" s="5">
        <v>737</v>
      </c>
      <c r="B798" s="138">
        <f>'Expenditures 15-22'!D61</f>
        <v>39500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3812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76787</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369</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369</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160348</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416299</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45349</v>
      </c>
      <c r="D832" s="2" t="str">
        <f t="shared" si="12"/>
        <v>Error?</v>
      </c>
    </row>
    <row r="833" spans="1:4" x14ac:dyDescent="0.2">
      <c r="A833" s="5">
        <v>772</v>
      </c>
      <c r="B833" s="138">
        <f>'Expenditures 15-22'!E13</f>
        <v>51818</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97167</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1083</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1083</v>
      </c>
      <c r="C843" s="2" t="s">
        <v>594</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594</v>
      </c>
      <c r="D847" s="2" t="str">
        <f t="shared" si="12"/>
        <v>Error?</v>
      </c>
    </row>
    <row r="848" spans="1:4" x14ac:dyDescent="0.2">
      <c r="A848" s="5">
        <v>787</v>
      </c>
      <c r="B848" s="138">
        <f>'Expenditures 15-22'!E49</f>
        <v>55758</v>
      </c>
      <c r="D848" s="2" t="str">
        <f t="shared" si="12"/>
        <v>Error?</v>
      </c>
    </row>
    <row r="849" spans="1:4" x14ac:dyDescent="0.2">
      <c r="A849" s="5">
        <v>788</v>
      </c>
      <c r="B849" s="138">
        <f>'Expenditures 15-22'!E50</f>
        <v>0</v>
      </c>
      <c r="D849" s="2" t="str">
        <f t="shared" si="12"/>
        <v>Error?</v>
      </c>
    </row>
    <row r="850" spans="1:4" x14ac:dyDescent="0.2">
      <c r="A850" s="5">
        <v>789</v>
      </c>
      <c r="B850" s="138">
        <f>'Expenditures 15-22'!E53</f>
        <v>55758</v>
      </c>
      <c r="C850" s="2" t="s">
        <v>594</v>
      </c>
      <c r="D850" s="2" t="str">
        <f t="shared" si="12"/>
        <v>Error?</v>
      </c>
    </row>
    <row r="851" spans="1:4" x14ac:dyDescent="0.2">
      <c r="A851" s="5">
        <v>790</v>
      </c>
      <c r="B851" s="138">
        <f>'Expenditures 15-22'!E55</f>
        <v>3492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3492</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40803</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40803</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101136</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198303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157466</v>
      </c>
      <c r="D890" s="2" t="str">
        <f t="shared" si="12"/>
        <v>Error?</v>
      </c>
    </row>
    <row r="891" spans="1:4" x14ac:dyDescent="0.2">
      <c r="A891" s="5">
        <v>830</v>
      </c>
      <c r="B891" s="138">
        <f>'Expenditures 15-22'!F13</f>
        <v>25441</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182907</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3489</v>
      </c>
      <c r="D906" s="2" t="str">
        <f t="shared" si="13"/>
        <v>Error?</v>
      </c>
    </row>
    <row r="907" spans="1:4" x14ac:dyDescent="0.2">
      <c r="A907" s="5">
        <v>846</v>
      </c>
      <c r="B907" s="138">
        <f>'Expenditures 15-22'!F50</f>
        <v>0</v>
      </c>
      <c r="D907" s="2" t="str">
        <f t="shared" si="13"/>
        <v>Error?</v>
      </c>
    </row>
    <row r="908" spans="1:4" x14ac:dyDescent="0.2">
      <c r="A908" s="5">
        <v>847</v>
      </c>
      <c r="B908" s="138">
        <f>'Expenditures 15-22'!F53</f>
        <v>3489</v>
      </c>
      <c r="C908" s="2" t="s">
        <v>594</v>
      </c>
      <c r="D908" s="2" t="str">
        <f t="shared" si="13"/>
        <v>Error?</v>
      </c>
    </row>
    <row r="909" spans="1:4" x14ac:dyDescent="0.2">
      <c r="A909" s="5">
        <v>848</v>
      </c>
      <c r="B909" s="138">
        <f>'Expenditures 15-22'!F55</f>
        <v>75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75</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1403</v>
      </c>
      <c r="D913" s="2" t="str">
        <f t="shared" si="13"/>
        <v>Error?</v>
      </c>
    </row>
    <row r="914" spans="1:4" x14ac:dyDescent="0.2">
      <c r="A914" s="5">
        <v>853</v>
      </c>
      <c r="B914" s="138">
        <f>'Expenditures 15-22'!F61</f>
        <v>84483</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35775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121661</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125225</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308132</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192</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192</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16209</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16209</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16209</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16401</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5633</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5633</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8712</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8712</v>
      </c>
      <c r="C1024" s="2" t="s">
        <v>594</v>
      </c>
      <c r="D1024" s="2" t="str">
        <f t="shared" si="15"/>
        <v>Error?</v>
      </c>
    </row>
    <row r="1025" spans="1:4" x14ac:dyDescent="0.2">
      <c r="A1025" s="5">
        <v>964</v>
      </c>
      <c r="B1025" s="138">
        <f>'Expenditures 15-22'!H55</f>
        <v>1648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1648</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10360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383</v>
      </c>
      <c r="D1051" s="2" t="str">
        <f t="shared" si="15"/>
        <v>Error?</v>
      </c>
    </row>
    <row r="1052" spans="1:4" x14ac:dyDescent="0.2">
      <c r="A1052" s="10">
        <v>991</v>
      </c>
      <c r="D1052" s="2" t="str">
        <f t="shared" si="15"/>
        <v>OK</v>
      </c>
    </row>
    <row r="1053" spans="1:4" x14ac:dyDescent="0.2">
      <c r="A1053" s="5">
        <v>992</v>
      </c>
      <c r="B1053" s="138">
        <f>'Expenditures 15-22'!H110</f>
        <v>383</v>
      </c>
      <c r="C1053" s="2" t="s">
        <v>594</v>
      </c>
      <c r="D1053" s="2" t="str">
        <f t="shared" si="15"/>
        <v>Error?</v>
      </c>
    </row>
    <row r="1054" spans="1:4" x14ac:dyDescent="0.2">
      <c r="A1054" s="5">
        <v>993</v>
      </c>
      <c r="B1054" s="138">
        <f>'Expenditures 15-22'!H114</f>
        <v>16376</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728195</v>
      </c>
      <c r="C1104" s="2" t="s">
        <v>594</v>
      </c>
      <c r="D1104" s="2" t="str">
        <f t="shared" si="16"/>
        <v>Error?</v>
      </c>
    </row>
    <row r="1105" spans="1:4" x14ac:dyDescent="0.2">
      <c r="A1105" s="5">
        <v>1044</v>
      </c>
      <c r="B1105" s="138">
        <f>'Expenditures 15-22'!K13</f>
        <v>654524</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1382719</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109071</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109071</v>
      </c>
      <c r="C1115" s="2" t="s">
        <v>594</v>
      </c>
      <c r="D1115" s="2" t="str">
        <f t="shared" si="16"/>
        <v>Error?</v>
      </c>
    </row>
    <row r="1116" spans="1:4" x14ac:dyDescent="0.2">
      <c r="A1116" s="5">
        <v>1055</v>
      </c>
      <c r="B1116" s="138">
        <f>'Expenditures 15-22'!K44</f>
        <v>0</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0</v>
      </c>
      <c r="C1119" s="2" t="s">
        <v>594</v>
      </c>
      <c r="D1119" s="2" t="str">
        <f t="shared" si="16"/>
        <v>Error?</v>
      </c>
    </row>
    <row r="1120" spans="1:4" x14ac:dyDescent="0.2">
      <c r="A1120" s="5">
        <v>1059</v>
      </c>
      <c r="B1120" s="138">
        <f>'Expenditures 15-22'!K49</f>
        <v>67959</v>
      </c>
      <c r="C1120" s="2" t="s">
        <v>594</v>
      </c>
      <c r="D1120" s="2" t="str">
        <f t="shared" si="16"/>
        <v>Error?</v>
      </c>
    </row>
    <row r="1121" spans="1:4" x14ac:dyDescent="0.2">
      <c r="A1121" s="5">
        <v>1060</v>
      </c>
      <c r="B1121" s="138">
        <f>'Expenditures 15-22'!K50</f>
        <v>0</v>
      </c>
      <c r="C1121" s="2" t="s">
        <v>594</v>
      </c>
      <c r="D1121" s="2" t="str">
        <f t="shared" si="16"/>
        <v>Error?</v>
      </c>
    </row>
    <row r="1122" spans="1:4" x14ac:dyDescent="0.2">
      <c r="A1122" s="5">
        <v>1061</v>
      </c>
      <c r="B1122" s="138">
        <f>'Expenditures 15-22'!K53</f>
        <v>67959</v>
      </c>
      <c r="C1122" s="2" t="s">
        <v>594</v>
      </c>
      <c r="D1122" s="2" t="str">
        <f t="shared" si="16"/>
        <v>Error?</v>
      </c>
    </row>
    <row r="1123" spans="1:4" x14ac:dyDescent="0.2">
      <c r="A1123" s="5">
        <v>1062</v>
      </c>
      <c r="B1123" s="138">
        <f>'Expenditures 15-22'!K55</f>
        <v>211976</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211976</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93753</v>
      </c>
      <c r="C1127" s="2" t="s">
        <v>594</v>
      </c>
      <c r="D1127" s="2" t="str">
        <f t="shared" si="16"/>
        <v>Error?</v>
      </c>
    </row>
    <row r="1128" spans="1:4" x14ac:dyDescent="0.2">
      <c r="A1128" s="5">
        <v>1067</v>
      </c>
      <c r="B1128" s="138">
        <f>'Expenditures 15-22'!K61</f>
        <v>263281</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68167</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425201</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5196</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5196</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819403</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383</v>
      </c>
      <c r="C1149" s="2" t="s">
        <v>594</v>
      </c>
      <c r="D1149" s="2" t="str">
        <f t="shared" si="16"/>
        <v>Error?</v>
      </c>
    </row>
    <row r="1150" spans="1:4" x14ac:dyDescent="0.2">
      <c r="A1150" s="10">
        <v>1089</v>
      </c>
      <c r="D1150" s="2" t="str">
        <f t="shared" si="16"/>
        <v>OK</v>
      </c>
    </row>
    <row r="1151" spans="1:4" x14ac:dyDescent="0.2">
      <c r="A1151" s="5">
        <v>1090</v>
      </c>
      <c r="B1151" s="138">
        <f>'Expenditures 15-22'!K110</f>
        <v>383</v>
      </c>
      <c r="C1151" s="2" t="s">
        <v>594</v>
      </c>
      <c r="D1151" s="2" t="str">
        <f t="shared" ref="D1151:D1214" si="17">IF(ISBLANK(B1151),"OK",IF(A1151-B1151=0,"OK","Error?"))</f>
        <v>Error?</v>
      </c>
    </row>
    <row r="1152" spans="1:4" x14ac:dyDescent="0.2">
      <c r="A1152" s="5">
        <v>1091</v>
      </c>
      <c r="B1152" s="138">
        <f>'Expenditures 15-22'!K114</f>
        <v>2202505</v>
      </c>
      <c r="C1152" s="2" t="s">
        <v>594</v>
      </c>
      <c r="D1152" s="2" t="str">
        <f t="shared" si="17"/>
        <v>Error?</v>
      </c>
    </row>
    <row r="1153" spans="1:4" x14ac:dyDescent="0.2">
      <c r="A1153" s="5">
        <v>1092</v>
      </c>
      <c r="B1153" s="138">
        <f>'Expenditures 15-22'!K115</f>
        <v>1483488</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4021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4021</v>
      </c>
      <c r="C1339" s="2" t="s">
        <v>594</v>
      </c>
      <c r="D1339" s="2" t="str">
        <f t="shared" si="19"/>
        <v>Error?</v>
      </c>
    </row>
    <row r="1340" spans="1:4" x14ac:dyDescent="0.2">
      <c r="A1340" s="5">
        <v>1279</v>
      </c>
      <c r="B1340" s="138">
        <f>'Expenditures 15-22'!C210</f>
        <v>4021</v>
      </c>
      <c r="C1340" s="2" t="s">
        <v>594</v>
      </c>
      <c r="D1340" s="2" t="str">
        <f t="shared" si="19"/>
        <v>Error?</v>
      </c>
    </row>
    <row r="1341" spans="1:4" x14ac:dyDescent="0.2">
      <c r="A1341" s="5">
        <v>1280</v>
      </c>
      <c r="B1341" s="138">
        <f>'Expenditures 15-22'!D182</f>
        <v>1616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1616</v>
      </c>
      <c r="C1345" s="2" t="s">
        <v>594</v>
      </c>
      <c r="D1345" s="2" t="str">
        <f t="shared" si="20"/>
        <v>Error?</v>
      </c>
    </row>
    <row r="1346" spans="1:4" x14ac:dyDescent="0.2">
      <c r="A1346" s="5">
        <v>1285</v>
      </c>
      <c r="B1346" s="138">
        <f>'Expenditures 15-22'!D210</f>
        <v>1616</v>
      </c>
      <c r="C1346" s="2" t="s">
        <v>594</v>
      </c>
      <c r="D1346" s="2" t="str">
        <f t="shared" si="20"/>
        <v>Error?</v>
      </c>
    </row>
    <row r="1347" spans="1:4" x14ac:dyDescent="0.2">
      <c r="A1347" s="5">
        <v>1286</v>
      </c>
      <c r="B1347" s="138">
        <f>'Expenditures 15-22'!E182</f>
        <v>142848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142848</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142848</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148485</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148485</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148485</v>
      </c>
      <c r="C1388" s="2" t="s">
        <v>594</v>
      </c>
      <c r="D1388" s="2" t="str">
        <f t="shared" si="20"/>
        <v>Error?</v>
      </c>
    </row>
    <row r="1389" spans="1:4" x14ac:dyDescent="0.2">
      <c r="A1389" s="5">
        <v>1328</v>
      </c>
      <c r="B1389" s="138">
        <f>'Expenditures 15-22'!K211</f>
        <v>-15225</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371252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582199</v>
      </c>
      <c r="C1630" s="2" t="s">
        <v>594</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23607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8382</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v>
      </c>
      <c r="D2008" s="2" t="str">
        <f t="shared" si="30"/>
        <v>Error?</v>
      </c>
    </row>
    <row r="2009" spans="1:4" x14ac:dyDescent="0.2">
      <c r="A2009" s="5">
        <v>1948</v>
      </c>
      <c r="B2009" s="138">
        <f>'Cap Outlay Deprec 26'!C8</f>
        <v>1087654</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196631</v>
      </c>
      <c r="D2011" s="2" t="str">
        <f t="shared" si="30"/>
        <v>Error?</v>
      </c>
    </row>
    <row r="2012" spans="1:4" x14ac:dyDescent="0.2">
      <c r="A2012" s="5">
        <v>1951</v>
      </c>
      <c r="B2012" s="138">
        <f>'Cap Outlay Deprec 26'!C13</f>
        <v>17608</v>
      </c>
      <c r="D2012" s="2" t="str">
        <f t="shared" si="30"/>
        <v>Error?</v>
      </c>
    </row>
    <row r="2013" spans="1:4" x14ac:dyDescent="0.2">
      <c r="A2013" s="5">
        <v>1952</v>
      </c>
      <c r="B2013" s="138">
        <f>'Cap Outlay Deprec 26'!C16</f>
        <v>1351379</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1</v>
      </c>
      <c r="C2026" s="2" t="s">
        <v>594</v>
      </c>
      <c r="D2026" s="2" t="str">
        <f t="shared" si="30"/>
        <v>Error?</v>
      </c>
    </row>
    <row r="2027" spans="1:4" x14ac:dyDescent="0.2">
      <c r="A2027" s="5">
        <v>1966</v>
      </c>
      <c r="B2027" s="138">
        <f>'Cap Outlay Deprec 26'!F8</f>
        <v>1087654</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196631</v>
      </c>
      <c r="C2029" s="2" t="s">
        <v>594</v>
      </c>
      <c r="D2029" s="2" t="str">
        <f t="shared" si="30"/>
        <v>Error?</v>
      </c>
    </row>
    <row r="2030" spans="1:4" x14ac:dyDescent="0.2">
      <c r="A2030" s="5">
        <v>1969</v>
      </c>
      <c r="B2030" s="138">
        <f>'Cap Outlay Deprec 26'!F13</f>
        <v>17608</v>
      </c>
      <c r="C2030" s="2" t="s">
        <v>594</v>
      </c>
      <c r="D2030" s="2" t="str">
        <f t="shared" si="30"/>
        <v>Error?</v>
      </c>
    </row>
    <row r="2031" spans="1:4" x14ac:dyDescent="0.2">
      <c r="A2031" s="5">
        <v>1970</v>
      </c>
      <c r="B2031" s="138">
        <f>'Cap Outlay Deprec 26'!F16</f>
        <v>1351379</v>
      </c>
      <c r="C2031" s="2" t="s">
        <v>594</v>
      </c>
      <c r="D2031" s="2" t="str">
        <f t="shared" si="30"/>
        <v>Error?</v>
      </c>
    </row>
    <row r="2032" spans="1:4" x14ac:dyDescent="0.2">
      <c r="A2032" s="10">
        <v>1971</v>
      </c>
      <c r="D2032" s="2" t="str">
        <f t="shared" si="30"/>
        <v>OK</v>
      </c>
    </row>
    <row r="2033" spans="1:4" x14ac:dyDescent="0.2">
      <c r="A2033" s="5">
        <v>1972</v>
      </c>
      <c r="B2033" s="138">
        <f>'Cap Outlay Deprec 26'!H8</f>
        <v>175756</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119972</v>
      </c>
      <c r="D2035" s="2" t="str">
        <f t="shared" si="30"/>
        <v>Error?</v>
      </c>
    </row>
    <row r="2036" spans="1:4" x14ac:dyDescent="0.2">
      <c r="A2036" s="5">
        <v>1975</v>
      </c>
      <c r="B2036" s="138">
        <f>'Cap Outlay Deprec 26'!H13</f>
        <v>13608</v>
      </c>
      <c r="D2036" s="2" t="str">
        <f t="shared" si="30"/>
        <v>Error?</v>
      </c>
    </row>
    <row r="2037" spans="1:4" x14ac:dyDescent="0.2">
      <c r="A2037" s="5">
        <v>1976</v>
      </c>
      <c r="B2037" s="138">
        <f>'Cap Outlay Deprec 26'!H16</f>
        <v>332009</v>
      </c>
      <c r="C2037" s="2" t="s">
        <v>594</v>
      </c>
      <c r="D2037" s="2" t="str">
        <f t="shared" si="30"/>
        <v>Error?</v>
      </c>
    </row>
    <row r="2038" spans="1:4" x14ac:dyDescent="0.2">
      <c r="A2038" s="10">
        <v>1977</v>
      </c>
      <c r="D2038" s="2" t="str">
        <f t="shared" si="30"/>
        <v>OK</v>
      </c>
    </row>
    <row r="2039" spans="1:4" x14ac:dyDescent="0.2">
      <c r="A2039" s="5">
        <v>1978</v>
      </c>
      <c r="B2039" s="138">
        <f>'Cap Outlay Deprec 26'!I8</f>
        <v>27495</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14762</v>
      </c>
      <c r="D2041" s="2" t="str">
        <f t="shared" si="30"/>
        <v>Error?</v>
      </c>
    </row>
    <row r="2042" spans="1:4" x14ac:dyDescent="0.2">
      <c r="A2042" s="5">
        <v>1981</v>
      </c>
      <c r="B2042" s="138">
        <f>'Cap Outlay Deprec 26'!I13</f>
        <v>813</v>
      </c>
      <c r="D2042" s="2" t="str">
        <f t="shared" si="30"/>
        <v>Error?</v>
      </c>
    </row>
    <row r="2043" spans="1:4" x14ac:dyDescent="0.2">
      <c r="A2043" s="5">
        <v>1982</v>
      </c>
      <c r="B2043" s="138">
        <f>'Cap Outlay Deprec 26'!I16</f>
        <v>44667</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203251</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134734</v>
      </c>
      <c r="C2053" s="2" t="s">
        <v>594</v>
      </c>
      <c r="D2053" s="2" t="str">
        <f t="shared" si="31"/>
        <v>Error?</v>
      </c>
    </row>
    <row r="2054" spans="1:4" x14ac:dyDescent="0.2">
      <c r="A2054" s="5">
        <v>1993</v>
      </c>
      <c r="B2054" s="138">
        <f>'Cap Outlay Deprec 26'!K13</f>
        <v>14421</v>
      </c>
      <c r="C2054" s="2" t="s">
        <v>594</v>
      </c>
      <c r="D2054" s="2" t="str">
        <f t="shared" si="31"/>
        <v>Error?</v>
      </c>
    </row>
    <row r="2055" spans="1:4" x14ac:dyDescent="0.2">
      <c r="A2055" s="5">
        <v>1994</v>
      </c>
      <c r="B2055" s="138">
        <f>'Cap Outlay Deprec 26'!K16</f>
        <v>376676</v>
      </c>
      <c r="C2055" s="2" t="s">
        <v>594</v>
      </c>
      <c r="D2055" s="2" t="str">
        <f t="shared" si="31"/>
        <v>Error?</v>
      </c>
    </row>
    <row r="2056" spans="1:4" x14ac:dyDescent="0.2">
      <c r="A2056" s="5">
        <v>1995</v>
      </c>
      <c r="B2056" s="138">
        <f>'Cap Outlay Deprec 26'!L5</f>
        <v>1</v>
      </c>
      <c r="C2056" s="2" t="s">
        <v>594</v>
      </c>
      <c r="D2056" s="2" t="str">
        <f t="shared" si="31"/>
        <v>Error?</v>
      </c>
    </row>
    <row r="2057" spans="1:4" x14ac:dyDescent="0.2">
      <c r="A2057" s="5">
        <v>1996</v>
      </c>
      <c r="B2057" s="138">
        <f>'Cap Outlay Deprec 26'!L8</f>
        <v>884403</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61897</v>
      </c>
      <c r="C2059" s="2" t="s">
        <v>594</v>
      </c>
      <c r="D2059" s="2" t="str">
        <f t="shared" si="31"/>
        <v>Error?</v>
      </c>
    </row>
    <row r="2060" spans="1:4" x14ac:dyDescent="0.2">
      <c r="A2060" s="5">
        <v>1999</v>
      </c>
      <c r="B2060" s="138">
        <f>'Cap Outlay Deprec 26'!L13</f>
        <v>3187</v>
      </c>
      <c r="C2060" s="2" t="s">
        <v>594</v>
      </c>
      <c r="D2060" s="2" t="str">
        <f t="shared" si="31"/>
        <v>Error?</v>
      </c>
    </row>
    <row r="2061" spans="1:4" x14ac:dyDescent="0.2">
      <c r="A2061" s="5">
        <v>2000</v>
      </c>
      <c r="B2061" s="138">
        <f>'Cap Outlay Deprec 26'!L16</f>
        <v>974703</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8382</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1121520</v>
      </c>
      <c r="C2551" s="2" t="s">
        <v>594</v>
      </c>
      <c r="D2551" s="2" t="str">
        <f t="shared" si="38"/>
        <v>Error?</v>
      </c>
    </row>
    <row r="2552" spans="1:4" x14ac:dyDescent="0.2">
      <c r="A2552" s="10">
        <v>2491</v>
      </c>
      <c r="D2552" s="2" t="str">
        <f t="shared" si="38"/>
        <v>OK</v>
      </c>
    </row>
    <row r="2553" spans="1:4" x14ac:dyDescent="0.2">
      <c r="A2553" s="5">
        <v>2492</v>
      </c>
      <c r="B2553" s="138">
        <f>'Acct Summary 7-8'!C6</f>
        <v>550281</v>
      </c>
      <c r="C2553" s="2" t="s">
        <v>594</v>
      </c>
      <c r="D2553" s="2" t="str">
        <f t="shared" si="38"/>
        <v>Error?</v>
      </c>
    </row>
    <row r="2554" spans="1:4" x14ac:dyDescent="0.2">
      <c r="A2554" s="5">
        <v>2493</v>
      </c>
      <c r="B2554" s="138">
        <f>'Acct Summary 7-8'!C7</f>
        <v>1755956</v>
      </c>
      <c r="C2554" s="2" t="s">
        <v>594</v>
      </c>
      <c r="D2554" s="2" t="str">
        <f t="shared" si="38"/>
        <v>Error?</v>
      </c>
    </row>
    <row r="2555" spans="1:4" x14ac:dyDescent="0.2">
      <c r="A2555" s="5">
        <v>2494</v>
      </c>
      <c r="B2555" s="138">
        <f>'Acct Summary 7-8'!C8</f>
        <v>3685993</v>
      </c>
      <c r="C2555" s="2" t="s">
        <v>594</v>
      </c>
      <c r="D2555" s="2" t="str">
        <f t="shared" si="38"/>
        <v>Error?</v>
      </c>
    </row>
    <row r="2556" spans="1:4" x14ac:dyDescent="0.2">
      <c r="A2556" s="5">
        <v>2495</v>
      </c>
      <c r="B2556" s="138">
        <f>'Acct Summary 7-8'!C12</f>
        <v>1382719</v>
      </c>
      <c r="C2556" s="2" t="s">
        <v>594</v>
      </c>
      <c r="D2556" s="2" t="str">
        <f t="shared" si="38"/>
        <v>Error?</v>
      </c>
    </row>
    <row r="2557" spans="1:4" x14ac:dyDescent="0.2">
      <c r="A2557" s="5">
        <v>2496</v>
      </c>
      <c r="B2557" s="138">
        <f>'Acct Summary 7-8'!C13</f>
        <v>819403</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0</v>
      </c>
      <c r="C2559" s="2" t="s">
        <v>594</v>
      </c>
      <c r="D2559" s="2" t="str">
        <f t="shared" ref="D2559:D2622" si="39">IF(ISBLANK(B2559),"OK",IF(A2559-B2559=0,"OK","Error?"))</f>
        <v>Error?</v>
      </c>
    </row>
    <row r="2560" spans="1:4" x14ac:dyDescent="0.2">
      <c r="A2560" s="5">
        <v>2499</v>
      </c>
      <c r="B2560" s="138">
        <f>'Acct Summary 7-8'!C16</f>
        <v>383</v>
      </c>
      <c r="C2560" s="2" t="s">
        <v>594</v>
      </c>
      <c r="D2560" s="2" t="str">
        <f t="shared" si="39"/>
        <v>Error?</v>
      </c>
    </row>
    <row r="2561" spans="1:4" x14ac:dyDescent="0.2">
      <c r="A2561" s="5">
        <v>2500</v>
      </c>
      <c r="B2561" s="138">
        <f>'Acct Summary 7-8'!C17</f>
        <v>2202505</v>
      </c>
      <c r="C2561" s="2" t="s">
        <v>594</v>
      </c>
      <c r="D2561" s="2" t="str">
        <f t="shared" si="39"/>
        <v>Error?</v>
      </c>
    </row>
    <row r="2562" spans="1:4" x14ac:dyDescent="0.2">
      <c r="A2562" s="5">
        <v>2501</v>
      </c>
      <c r="B2562" s="138">
        <f>'Acct Summary 7-8'!C20</f>
        <v>1483488</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133260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133260</v>
      </c>
      <c r="C2595" s="2" t="s">
        <v>594</v>
      </c>
      <c r="D2595" s="2" t="str">
        <f t="shared" si="39"/>
        <v>Error?</v>
      </c>
    </row>
    <row r="2596" spans="1:4" x14ac:dyDescent="0.2">
      <c r="A2596" s="5">
        <v>2535</v>
      </c>
      <c r="B2596" s="138">
        <f>'Acct Summary 7-8'!F13</f>
        <v>148485</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148485</v>
      </c>
      <c r="C2600" s="2" t="s">
        <v>594</v>
      </c>
      <c r="D2600" s="2" t="str">
        <f t="shared" si="39"/>
        <v>Error?</v>
      </c>
    </row>
    <row r="2601" spans="1:4" x14ac:dyDescent="0.2">
      <c r="A2601" s="5">
        <v>2540</v>
      </c>
      <c r="B2601" s="138">
        <f>'Acct Summary 7-8'!F20</f>
        <v>-15225</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1272541</v>
      </c>
      <c r="D3230" s="2" t="str">
        <f t="shared" si="49"/>
        <v>Error?</v>
      </c>
    </row>
    <row r="3231" spans="1:4" x14ac:dyDescent="0.2">
      <c r="A3231" s="5">
        <v>3170</v>
      </c>
      <c r="B3231" s="138">
        <f>'Acct Summary 7-8'!C76</f>
        <v>1272541</v>
      </c>
      <c r="C3231" s="2" t="s">
        <v>594</v>
      </c>
      <c r="D3231" s="2" t="str">
        <f t="shared" si="49"/>
        <v>Error?</v>
      </c>
    </row>
    <row r="3232" spans="1:4" x14ac:dyDescent="0.2">
      <c r="A3232" s="5">
        <v>3171</v>
      </c>
      <c r="B3232" s="138">
        <f>'Acct Summary 7-8'!C77</f>
        <v>-1272541</v>
      </c>
      <c r="C3232" s="2" t="s">
        <v>594</v>
      </c>
      <c r="D3232" s="2" t="str">
        <f t="shared" si="49"/>
        <v>Error?</v>
      </c>
    </row>
    <row r="3233" spans="1:4" x14ac:dyDescent="0.2">
      <c r="A3233" s="5">
        <v>3172</v>
      </c>
      <c r="B3233" s="138">
        <f>'Acct Summary 7-8'!C78</f>
        <v>210947</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-15225</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258236</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473981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1695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35775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656827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4342820</v>
      </c>
      <c r="C4122" s="2" t="s">
        <v>594</v>
      </c>
      <c r="D4122" s="2" t="str">
        <f t="shared" si="63"/>
        <v>Error?</v>
      </c>
    </row>
    <row r="4123" spans="1:4" x14ac:dyDescent="0.2">
      <c r="A4123" s="5">
        <v>4062</v>
      </c>
      <c r="B4123" s="138">
        <f>'Acct Summary 7-8'!D10</f>
        <v>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133260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656827</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2859332</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148485</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590581</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61804</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1272541</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46199</v>
      </c>
      <c r="D5078" s="2" t="str">
        <f t="shared" si="78"/>
        <v>Error?</v>
      </c>
    </row>
    <row r="5079" spans="1:4" x14ac:dyDescent="0.2">
      <c r="A5079" s="5">
        <v>5018</v>
      </c>
      <c r="B5079" s="138">
        <f>'Revenues 9-14'!C29</f>
        <v>120338</v>
      </c>
      <c r="D5079" s="2" t="str">
        <f t="shared" si="78"/>
        <v>Error?</v>
      </c>
    </row>
    <row r="5080" spans="1:4" x14ac:dyDescent="0.2">
      <c r="A5080" s="5">
        <v>5019</v>
      </c>
      <c r="B5080" s="138">
        <f>'Revenues 9-14'!C30</f>
        <v>963</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765715</v>
      </c>
      <c r="D5086" s="2" t="str">
        <f t="shared" si="78"/>
        <v>Error?</v>
      </c>
    </row>
    <row r="5087" spans="1:4" x14ac:dyDescent="0.2">
      <c r="A5087" s="5">
        <v>5026</v>
      </c>
      <c r="B5087" s="138">
        <f>'Revenues 9-14'!C40</f>
        <v>933215</v>
      </c>
      <c r="C5087" s="2" t="s">
        <v>594</v>
      </c>
      <c r="D5087" s="2" t="str">
        <f t="shared" si="78"/>
        <v>Error?</v>
      </c>
    </row>
    <row r="5088" spans="1:4" x14ac:dyDescent="0.2">
      <c r="A5088" s="5">
        <v>5027</v>
      </c>
      <c r="B5088" s="138">
        <f>'Revenues 9-14'!C65</f>
        <v>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0</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8960</v>
      </c>
      <c r="D5095" s="2" t="str">
        <f t="shared" si="78"/>
        <v>Error?</v>
      </c>
    </row>
    <row r="5096" spans="1:4" x14ac:dyDescent="0.2">
      <c r="A5096" s="5">
        <v>5035</v>
      </c>
      <c r="B5096" s="138">
        <f>'Revenues 9-14'!C75</f>
        <v>8960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22205</v>
      </c>
      <c r="D5099" s="2" t="str">
        <f t="shared" si="78"/>
        <v>Error?</v>
      </c>
    </row>
    <row r="5100" spans="1:4" x14ac:dyDescent="0.2">
      <c r="A5100" s="5">
        <v>5039</v>
      </c>
      <c r="B5100" s="138">
        <f>'Revenues 9-14'!C80</f>
        <v>28834</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51039</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57984</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57984</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8518</v>
      </c>
      <c r="D5119" s="2" t="str">
        <f t="shared" ref="D5119:D5182" si="79">IF(ISBLANK(B5119),"OK",IF(A5119-B5119=0,"OK","Error?"))</f>
        <v>Error?</v>
      </c>
    </row>
    <row r="5120" spans="1:4" x14ac:dyDescent="0.2">
      <c r="A5120" s="5">
        <v>5059</v>
      </c>
      <c r="B5120" s="138">
        <f>'Revenues 9-14'!C108</f>
        <v>70322</v>
      </c>
      <c r="C5120" s="2" t="s">
        <v>594</v>
      </c>
      <c r="D5120" s="2" t="str">
        <f t="shared" si="79"/>
        <v>Error?</v>
      </c>
    </row>
    <row r="5121" spans="1:4" x14ac:dyDescent="0.2">
      <c r="A5121" s="5">
        <v>5060</v>
      </c>
      <c r="B5121" s="138">
        <f>'Revenues 9-14'!C109</f>
        <v>1121520</v>
      </c>
      <c r="C5121" s="2" t="s">
        <v>594</v>
      </c>
      <c r="D5121" s="2" t="str">
        <f t="shared" si="79"/>
        <v>Error?</v>
      </c>
    </row>
    <row r="5122" spans="1:4" x14ac:dyDescent="0.2">
      <c r="A5122" s="5">
        <v>5061</v>
      </c>
      <c r="B5122" s="138">
        <f>'Revenues 9-14'!C111</f>
        <v>255000</v>
      </c>
      <c r="D5122" s="2" t="str">
        <f t="shared" si="79"/>
        <v>Error?</v>
      </c>
    </row>
    <row r="5123" spans="1:4" x14ac:dyDescent="0.2">
      <c r="A5123" s="5">
        <v>5062</v>
      </c>
      <c r="B5123" s="138">
        <f>'Revenues 9-14'!C112</f>
        <v>3236</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258236</v>
      </c>
      <c r="C5125" s="2" t="s">
        <v>594</v>
      </c>
      <c r="D5125" s="2" t="str">
        <f t="shared" si="79"/>
        <v>Error?</v>
      </c>
    </row>
    <row r="5126" spans="1:4" x14ac:dyDescent="0.2">
      <c r="A5126" s="5">
        <v>5065</v>
      </c>
      <c r="B5126" s="138">
        <f>'Revenues 9-14'!C117</f>
        <v>408910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408910</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140810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140810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561</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141371</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550281</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29266</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16035</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45301</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438114</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1755956</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1755956</v>
      </c>
      <c r="C5326" s="2" t="s">
        <v>594</v>
      </c>
      <c r="D5326" s="2" t="str">
        <f t="shared" si="82"/>
        <v>Error?</v>
      </c>
    </row>
    <row r="5327" spans="1:4" x14ac:dyDescent="0.2">
      <c r="A5327" s="5">
        <v>5266</v>
      </c>
      <c r="B5327" s="138">
        <f>'Revenues 9-14'!C275</f>
        <v>3685993</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46198</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46198</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87062</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87062</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87062</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133260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133260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3358</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95241</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21912</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27929</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1909</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15225</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4374</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t="str">
        <f>'Acct Summary 7-8'!J9</f>
        <v xml:space="preserve"> </v>
      </c>
      <c r="D6224" s="2" t="e">
        <f t="shared" si="96"/>
        <v>#VALUE!</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t="str">
        <f>'Acct Summary 7-8'!J18</f>
        <v xml:space="preserve"> </v>
      </c>
      <c r="D6228" s="2" t="e">
        <f t="shared" si="96"/>
        <v>#VALUE!</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210947</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-15225</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0.36232800125043158</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t="e">
        <f>'Acct Summary 7-8'!E83</f>
        <v>#DIV/0!</v>
      </c>
      <c r="D6278" s="2" t="e">
        <f t="shared" si="97"/>
        <v>#DIV/0!</v>
      </c>
      <c r="E6278" s="2" t="s">
        <v>199</v>
      </c>
    </row>
    <row r="6279" spans="1:5" x14ac:dyDescent="0.2">
      <c r="A6279">
        <v>6218</v>
      </c>
      <c r="B6279" s="138">
        <f>'Acct Summary 7-8'!F83</f>
        <v>-1.8163922691481746</v>
      </c>
      <c r="D6279" s="2" t="str">
        <f t="shared" si="97"/>
        <v>Error?</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383</v>
      </c>
      <c r="D7018" s="2" t="str">
        <f t="shared" si="108"/>
        <v>Error?</v>
      </c>
    </row>
    <row r="7019" spans="1:4" x14ac:dyDescent="0.2">
      <c r="A7019">
        <v>6958</v>
      </c>
      <c r="B7019" s="138">
        <f>'Expenditures 15-22'!K112</f>
        <v>383</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35046</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35046</v>
      </c>
      <c r="D7600" s="2" t="str">
        <f t="shared" si="122"/>
        <v>Error?</v>
      </c>
      <c r="E7600" s="2" t="s">
        <v>19</v>
      </c>
    </row>
    <row r="7601" spans="1:5" x14ac:dyDescent="0.2">
      <c r="A7601">
        <f t="shared" si="123"/>
        <v>7540</v>
      </c>
      <c r="B7601" s="138">
        <f>'Cap Outlay Deprec 26'!H6</f>
        <v>8234</v>
      </c>
      <c r="D7601" s="2" t="str">
        <f t="shared" si="122"/>
        <v>Error?</v>
      </c>
      <c r="E7601" s="2" t="s">
        <v>19</v>
      </c>
    </row>
    <row r="7602" spans="1:5" x14ac:dyDescent="0.2">
      <c r="A7602">
        <f t="shared" si="123"/>
        <v>7541</v>
      </c>
      <c r="B7602" s="138">
        <f>'Cap Outlay Deprec 26'!I6</f>
        <v>1597</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9831</v>
      </c>
      <c r="D7604" s="2" t="str">
        <f t="shared" si="122"/>
        <v>Error?</v>
      </c>
      <c r="E7604" s="2" t="s">
        <v>19</v>
      </c>
    </row>
    <row r="7605" spans="1:5" x14ac:dyDescent="0.2">
      <c r="A7605">
        <f t="shared" si="123"/>
        <v>7544</v>
      </c>
      <c r="B7605" s="138">
        <f>'Cap Outlay Deprec 26'!L6</f>
        <v>25215</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14439</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14439</v>
      </c>
      <c r="D7618" s="2" t="str">
        <f t="shared" si="124"/>
        <v>Error?</v>
      </c>
      <c r="E7618" s="2" t="s">
        <v>19</v>
      </c>
    </row>
    <row r="7619" spans="1:5" x14ac:dyDescent="0.2">
      <c r="A7619">
        <f t="shared" si="123"/>
        <v>7558</v>
      </c>
      <c r="B7619" s="138">
        <f>'Cap Outlay Deprec 26'!H14</f>
        <v>14439</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14439</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44667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41277</v>
      </c>
      <c r="D7797" s="2" t="str">
        <f t="shared" si="127"/>
        <v>Error?</v>
      </c>
      <c r="E7797" s="4" t="s">
        <v>2019</v>
      </c>
    </row>
    <row r="7798" spans="1:5" x14ac:dyDescent="0.2">
      <c r="A7798">
        <v>7737</v>
      </c>
      <c r="B7798" s="138">
        <f>'Contracts Paid in CY 29'!F141</f>
        <v>25000</v>
      </c>
      <c r="D7798" s="2" t="str">
        <f t="shared" si="127"/>
        <v>Error?</v>
      </c>
      <c r="E7798" s="4" t="s">
        <v>2019</v>
      </c>
    </row>
    <row r="7799" spans="1:5" x14ac:dyDescent="0.2">
      <c r="A7799">
        <v>7738</v>
      </c>
      <c r="B7799" s="138">
        <f>'Contracts Paid in CY 29'!G141</f>
        <v>6000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0"/>
  <sheetViews>
    <sheetView showGridLines="0" showZeros="0" zoomScale="110" zoomScaleNormal="110" workbookViewId="0">
      <selection activeCell="B1" sqref="B1"/>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2" t="s">
        <v>1253</v>
      </c>
      <c r="B2" s="2422"/>
      <c r="C2" s="2422"/>
      <c r="D2" s="2422"/>
      <c r="E2" s="2422"/>
      <c r="F2" s="2422"/>
      <c r="G2" s="2422"/>
      <c r="H2" s="2422"/>
      <c r="I2" s="2422"/>
      <c r="J2" s="2422"/>
      <c r="K2" s="2422"/>
      <c r="L2" s="2422"/>
    </row>
    <row r="3" spans="1:29" ht="13.5" customHeight="1" x14ac:dyDescent="0.2">
      <c r="A3" s="2408" t="s">
        <v>1252</v>
      </c>
      <c r="B3" s="2408"/>
      <c r="C3" s="2408"/>
      <c r="D3" s="2408"/>
      <c r="E3" s="2408"/>
      <c r="F3" s="2408"/>
      <c r="G3" s="2408"/>
      <c r="H3" s="2408"/>
      <c r="I3" s="2408"/>
      <c r="J3" s="2408"/>
      <c r="K3" s="2408"/>
      <c r="L3" s="2408"/>
    </row>
    <row r="4" spans="1:29" ht="13.5" customHeight="1" x14ac:dyDescent="0.2">
      <c r="A4" s="2422" t="s">
        <v>1799</v>
      </c>
      <c r="B4" s="2439"/>
      <c r="C4" s="2439"/>
      <c r="D4" s="2439"/>
      <c r="E4" s="2439"/>
      <c r="F4" s="2439"/>
      <c r="G4" s="2439"/>
      <c r="H4" s="2439"/>
      <c r="I4" s="2439"/>
      <c r="J4" s="2439"/>
      <c r="K4" s="2439"/>
      <c r="L4" s="243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2" t="str">
        <f>COVER!A17</f>
        <v>Career Center of Southern Illinois</v>
      </c>
      <c r="B7" s="2403"/>
      <c r="C7" s="2403"/>
      <c r="D7" s="2440"/>
      <c r="E7" s="2441">
        <f>COVER!A13</f>
        <v>45000000040</v>
      </c>
      <c r="F7" s="2442"/>
      <c r="G7" s="2409" t="str">
        <f>COVER!T23</f>
        <v>065-026956</v>
      </c>
      <c r="H7" s="2410"/>
      <c r="I7" s="2410"/>
      <c r="J7" s="2410"/>
      <c r="K7" s="2410"/>
      <c r="L7" s="2411"/>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2"/>
      <c r="B9" s="2413"/>
      <c r="C9" s="2413"/>
      <c r="D9" s="2413"/>
      <c r="E9" s="2413"/>
      <c r="F9" s="2414"/>
      <c r="G9" s="2415" t="str">
        <f>COVER!T13</f>
        <v xml:space="preserve">Scheffel Boyle </v>
      </c>
      <c r="H9" s="2416"/>
      <c r="I9" s="2416"/>
      <c r="J9" s="2416"/>
      <c r="K9" s="2416"/>
      <c r="L9" s="2417"/>
    </row>
    <row r="10" spans="1:29" ht="13.5" customHeight="1" x14ac:dyDescent="0.2">
      <c r="A10" s="2399" t="str">
        <f>COVER!A38</f>
        <v>Mark Stuart</v>
      </c>
      <c r="B10" s="2400"/>
      <c r="C10" s="2400"/>
      <c r="D10" s="2400"/>
      <c r="E10" s="2400"/>
      <c r="F10" s="2401"/>
      <c r="G10" s="2415" t="str">
        <f>COVER!T17</f>
        <v xml:space="preserve">222 East Main Street </v>
      </c>
      <c r="H10" s="2428"/>
      <c r="I10" s="2428"/>
      <c r="J10" s="2428"/>
      <c r="K10" s="2428"/>
      <c r="L10" s="2429"/>
    </row>
    <row r="11" spans="1:29" ht="13.5" customHeight="1" x14ac:dyDescent="0.2">
      <c r="A11" s="1185" t="s">
        <v>1599</v>
      </c>
      <c r="B11" s="1186"/>
      <c r="C11" s="1187"/>
      <c r="D11" s="1192"/>
      <c r="E11" s="1187"/>
      <c r="F11" s="1191"/>
      <c r="G11" s="2415" t="str">
        <f>COVER!T19</f>
        <v>Bellleville</v>
      </c>
      <c r="H11" s="2428"/>
      <c r="I11" s="2428"/>
      <c r="J11" s="2428"/>
      <c r="K11" s="2428"/>
      <c r="L11" s="2429"/>
    </row>
    <row r="12" spans="1:29" ht="13.5" customHeight="1" x14ac:dyDescent="0.2">
      <c r="A12" s="2433" t="s">
        <v>1598</v>
      </c>
      <c r="B12" s="2434"/>
      <c r="C12" s="2434"/>
      <c r="D12" s="2434"/>
      <c r="E12" s="2434"/>
      <c r="F12" s="2435"/>
      <c r="G12" s="2430"/>
      <c r="H12" s="2431"/>
      <c r="I12" s="2431"/>
      <c r="J12" s="2431"/>
      <c r="K12" s="2431"/>
      <c r="L12" s="2432"/>
    </row>
    <row r="13" spans="1:29" ht="13.5" customHeight="1" x14ac:dyDescent="0.2">
      <c r="A13" s="2415"/>
      <c r="B13" s="2428"/>
      <c r="C13" s="2428"/>
      <c r="D13" s="2428"/>
      <c r="E13" s="2428"/>
      <c r="F13" s="2429"/>
      <c r="G13" s="2423" t="s">
        <v>1600</v>
      </c>
      <c r="H13" s="2424"/>
      <c r="I13" s="2436" t="str">
        <f>COVER!T25</f>
        <v>dale.holtmann@scheffelboyle.com</v>
      </c>
      <c r="J13" s="2437"/>
      <c r="K13" s="2437"/>
      <c r="L13" s="2438"/>
    </row>
    <row r="14" spans="1:29" ht="13.5" customHeight="1" x14ac:dyDescent="0.2">
      <c r="A14" s="2415" t="str">
        <f>COVER!A19</f>
        <v>6137 Beck Road</v>
      </c>
      <c r="B14" s="2428"/>
      <c r="C14" s="2428"/>
      <c r="D14" s="2428"/>
      <c r="E14" s="2428"/>
      <c r="F14" s="2429"/>
      <c r="G14" s="1196" t="s">
        <v>1247</v>
      </c>
      <c r="H14" s="1194"/>
      <c r="I14" s="1194"/>
      <c r="J14" s="1194"/>
      <c r="K14" s="1194"/>
      <c r="L14" s="1195"/>
    </row>
    <row r="15" spans="1:29" ht="13.5" customHeight="1" x14ac:dyDescent="0.2">
      <c r="A15" s="2415" t="str">
        <f>COVER!A21</f>
        <v>Red Bud</v>
      </c>
      <c r="B15" s="2428"/>
      <c r="C15" s="2428"/>
      <c r="D15" s="2428"/>
      <c r="E15" s="2428"/>
      <c r="F15" s="2429"/>
      <c r="G15" s="2425" t="str">
        <f>COVER!T15</f>
        <v>Dale Holtmann</v>
      </c>
      <c r="H15" s="2426"/>
      <c r="I15" s="2426"/>
      <c r="J15" s="2426"/>
      <c r="K15" s="2426"/>
      <c r="L15" s="2427"/>
    </row>
    <row r="16" spans="1:29" ht="12.2" customHeight="1" x14ac:dyDescent="0.2">
      <c r="A16" s="2405">
        <f>COVER!A25</f>
        <v>62278</v>
      </c>
      <c r="B16" s="2406"/>
      <c r="C16" s="2406"/>
      <c r="D16" s="2406"/>
      <c r="E16" s="2406"/>
      <c r="F16" s="2407"/>
      <c r="G16" s="2418"/>
      <c r="H16" s="2419"/>
      <c r="I16" s="2419"/>
      <c r="J16" s="2419"/>
      <c r="K16" s="2419"/>
      <c r="L16" s="2420"/>
    </row>
    <row r="17" spans="1:13" ht="12.2" customHeight="1" x14ac:dyDescent="0.2">
      <c r="A17" s="2421"/>
      <c r="B17" s="2406"/>
      <c r="C17" s="2406"/>
      <c r="D17" s="2406"/>
      <c r="E17" s="2406"/>
      <c r="F17" s="2407"/>
      <c r="G17" s="1196" t="s">
        <v>1246</v>
      </c>
      <c r="H17" s="1194"/>
      <c r="I17" s="1194"/>
      <c r="J17" s="1194"/>
      <c r="K17" s="1198" t="s">
        <v>1245</v>
      </c>
      <c r="L17" s="1191"/>
      <c r="M17" s="1184"/>
    </row>
    <row r="18" spans="1:13" ht="12.2" customHeight="1" x14ac:dyDescent="0.2">
      <c r="A18" s="2399"/>
      <c r="B18" s="2400"/>
      <c r="C18" s="2400"/>
      <c r="D18" s="2400"/>
      <c r="E18" s="2400"/>
      <c r="F18" s="2401"/>
      <c r="G18" s="2402" t="str">
        <f>COVER!T21</f>
        <v>618-277-8100</v>
      </c>
      <c r="H18" s="2403"/>
      <c r="I18" s="2403"/>
      <c r="J18" s="2403"/>
      <c r="K18" s="2402" t="str">
        <f>COVER!X21</f>
        <v>618-277-9307</v>
      </c>
      <c r="L18" s="240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t="s">
        <v>2076</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2076</v>
      </c>
      <c r="C26" s="1203" t="s">
        <v>1801</v>
      </c>
    </row>
    <row r="27" spans="1:13" s="1199" customFormat="1" ht="9" customHeight="1" x14ac:dyDescent="0.2">
      <c r="B27" s="1204"/>
      <c r="C27" s="1203"/>
    </row>
    <row r="28" spans="1:13" s="1199" customFormat="1" ht="12.2" customHeight="1" x14ac:dyDescent="0.2">
      <c r="A28" s="1206"/>
      <c r="B28" s="1202" t="s">
        <v>2076</v>
      </c>
      <c r="C28" s="1203" t="s">
        <v>1802</v>
      </c>
    </row>
    <row r="29" spans="1:13" s="1199" customFormat="1" ht="9" customHeight="1" x14ac:dyDescent="0.2">
      <c r="A29" s="1206"/>
      <c r="B29" s="1204"/>
      <c r="C29" s="1203"/>
    </row>
    <row r="30" spans="1:13" s="1199" customFormat="1" ht="12.2" customHeight="1" x14ac:dyDescent="0.2">
      <c r="B30" s="1202" t="s">
        <v>2076</v>
      </c>
      <c r="C30" s="1203" t="s">
        <v>1643</v>
      </c>
      <c r="D30" s="1197"/>
      <c r="E30" s="1197"/>
    </row>
    <row r="31" spans="1:13" s="1199" customFormat="1" ht="9" customHeight="1" x14ac:dyDescent="0.2">
      <c r="B31" s="1204"/>
      <c r="C31" s="1203"/>
      <c r="D31" s="1197"/>
      <c r="E31" s="1197"/>
    </row>
    <row r="32" spans="1:13" s="1199" customFormat="1" ht="12.2" customHeight="1" x14ac:dyDescent="0.2">
      <c r="B32" s="1202" t="s">
        <v>2076</v>
      </c>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t="s">
        <v>2076</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2076</v>
      </c>
      <c r="C38" s="1203" t="s">
        <v>1647</v>
      </c>
    </row>
    <row r="39" spans="1:8" ht="9" customHeight="1" x14ac:dyDescent="0.2">
      <c r="B39" s="1204"/>
      <c r="C39" s="1207"/>
    </row>
    <row r="40" spans="1:8" s="1199" customFormat="1" ht="13.5" customHeight="1" x14ac:dyDescent="0.2">
      <c r="B40" s="1202" t="s">
        <v>2076</v>
      </c>
      <c r="C40" s="1203" t="s">
        <v>1648</v>
      </c>
    </row>
    <row r="41" spans="1:8" ht="9" customHeight="1" x14ac:dyDescent="0.2">
      <c r="A41" s="1208"/>
      <c r="B41" s="1204"/>
      <c r="C41" s="1207"/>
    </row>
    <row r="42" spans="1:8" s="1199" customFormat="1" ht="13.5" customHeight="1" x14ac:dyDescent="0.2">
      <c r="B42" s="1202" t="s">
        <v>2076</v>
      </c>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41"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7"/>
  <sheetViews>
    <sheetView showGridLines="0" zoomScale="125" zoomScaleNormal="125" workbookViewId="0">
      <selection activeCell="B7" sqref="B7"/>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Career Center of Southern Illinois</v>
      </c>
      <c r="B1" s="2439"/>
      <c r="C1" s="2439"/>
      <c r="D1" s="2439"/>
    </row>
    <row r="2" spans="1:11" s="1215" customFormat="1" ht="12.75" x14ac:dyDescent="0.2">
      <c r="A2" s="2444">
        <f>'Single Audit Cover'!E7</f>
        <v>45000000040</v>
      </c>
      <c r="B2" s="2445"/>
      <c r="C2" s="2445"/>
      <c r="D2" s="2445"/>
    </row>
    <row r="3" spans="1:11" s="1215" customFormat="1" ht="12.75" x14ac:dyDescent="0.2">
      <c r="A3" s="2443" t="s">
        <v>1593</v>
      </c>
      <c r="B3" s="2439"/>
      <c r="C3" s="2439"/>
      <c r="D3" s="243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75" right="0.25" top="0.5" bottom="0.5" header="0.25" footer="0.25"/>
  <pageSetup scale="75" firstPageNumber="42"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Career Center of Southern Illinois</v>
      </c>
      <c r="B1" s="2447"/>
      <c r="C1" s="2447"/>
      <c r="D1" s="2447"/>
      <c r="E1" s="2447"/>
    </row>
    <row r="2" spans="1:5" x14ac:dyDescent="0.2">
      <c r="A2" s="2448">
        <f>'Single Audit Cover'!E7</f>
        <v>45000000040</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1755956</v>
      </c>
    </row>
    <row r="11" spans="1:5" ht="18" customHeight="1" x14ac:dyDescent="0.2">
      <c r="A11" s="1261" t="s">
        <v>1302</v>
      </c>
      <c r="B11" s="1262"/>
      <c r="C11" s="1262"/>
    </row>
    <row r="12" spans="1:5" x14ac:dyDescent="0.2">
      <c r="A12" s="1261" t="s">
        <v>1301</v>
      </c>
      <c r="B12" s="1262" t="s">
        <v>1300</v>
      </c>
      <c r="C12" s="1262"/>
      <c r="D12" s="1264">
        <f>SUM('Revenues 9-14'!C112:D112,'Revenues 9-14'!F112:G112)</f>
        <v>3236</v>
      </c>
    </row>
    <row r="13" spans="1:5" x14ac:dyDescent="0.2">
      <c r="A13" s="1261" t="s">
        <v>1299</v>
      </c>
      <c r="B13" s="1262"/>
      <c r="C13" s="1262"/>
    </row>
    <row r="14" spans="1:5" x14ac:dyDescent="0.2">
      <c r="A14" s="1261" t="s">
        <v>1830</v>
      </c>
      <c r="B14" s="1262"/>
      <c r="C14" s="1262"/>
      <c r="D14" s="1264">
        <f>'ICR Computation 30'!E11</f>
        <v>3358</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1762550</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1762550</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1762550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43"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A7" sqref="A7:F7"/>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2" t="str">
        <f>'Single Audit Cover'!A7</f>
        <v>Career Center of Southern Illinois</v>
      </c>
      <c r="B1" s="2452"/>
      <c r="C1" s="2452"/>
      <c r="D1" s="2452"/>
      <c r="E1" s="2452"/>
      <c r="F1" s="2452"/>
    </row>
    <row r="2" spans="1:7" ht="13.5" customHeight="1" x14ac:dyDescent="0.2">
      <c r="A2" s="2453">
        <f>'Single Audit Cover'!E7</f>
        <v>45000000040</v>
      </c>
      <c r="B2" s="2453"/>
      <c r="C2" s="2453"/>
      <c r="D2" s="2453"/>
      <c r="E2" s="2453"/>
      <c r="F2" s="2453"/>
      <c r="G2" s="1275"/>
    </row>
    <row r="3" spans="1:7" ht="15.75" customHeight="1" x14ac:dyDescent="0.2">
      <c r="A3" s="2454" t="s">
        <v>1333</v>
      </c>
      <c r="B3" s="2454"/>
      <c r="C3" s="2454"/>
      <c r="D3" s="2454"/>
      <c r="E3" s="2454"/>
      <c r="F3" s="2454"/>
    </row>
    <row r="4" spans="1:7" ht="13.5" customHeight="1" x14ac:dyDescent="0.2">
      <c r="A4" s="2455" t="str">
        <f>'Single Audit Cover'!A4</f>
        <v>Year Ending June 30, 2018</v>
      </c>
      <c r="B4" s="2455"/>
      <c r="C4" s="2455"/>
      <c r="D4" s="2455"/>
      <c r="E4" s="2455"/>
      <c r="F4" s="2455"/>
    </row>
    <row r="5" spans="1:7" ht="8.25" customHeight="1" x14ac:dyDescent="0.2">
      <c r="C5" s="317"/>
      <c r="D5" s="317"/>
    </row>
    <row r="6" spans="1:7" ht="13.5" customHeight="1" x14ac:dyDescent="0.2">
      <c r="A6" s="1276" t="s">
        <v>1831</v>
      </c>
      <c r="C6" s="317"/>
      <c r="D6" s="317"/>
    </row>
    <row r="7" spans="1:7" ht="60.95" customHeight="1" x14ac:dyDescent="0.2">
      <c r="A7" s="2451" t="s">
        <v>2109</v>
      </c>
      <c r="B7" s="2451"/>
      <c r="C7" s="2451"/>
      <c r="D7" s="2451"/>
      <c r="E7" s="2451"/>
      <c r="F7" s="2451"/>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2076</v>
      </c>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1" t="s">
        <v>1833</v>
      </c>
      <c r="B13" s="2451"/>
      <c r="C13" s="2451"/>
      <c r="D13" s="2451"/>
      <c r="E13" s="2451"/>
      <c r="F13" s="2451"/>
    </row>
    <row r="14" spans="1:7" ht="9.75" customHeight="1" x14ac:dyDescent="0.2">
      <c r="C14" s="1260"/>
      <c r="D14" s="1260"/>
    </row>
    <row r="15" spans="1:7" ht="13.5" customHeight="1" x14ac:dyDescent="0.2">
      <c r="C15" s="1871" t="s">
        <v>1332</v>
      </c>
      <c r="D15" s="2457" t="s">
        <v>1331</v>
      </c>
      <c r="E15" s="2457"/>
      <c r="F15" s="2457"/>
    </row>
    <row r="16" spans="1:7" ht="13.5" customHeight="1" x14ac:dyDescent="0.2">
      <c r="A16" s="1282"/>
      <c r="B16" s="1276" t="s">
        <v>1330</v>
      </c>
      <c r="C16" s="1871" t="s">
        <v>1329</v>
      </c>
      <c r="D16" s="2458" t="s">
        <v>1670</v>
      </c>
      <c r="E16" s="2458"/>
      <c r="F16" s="2458"/>
    </row>
    <row r="17" spans="1:6" ht="20.45" customHeight="1" x14ac:dyDescent="0.2">
      <c r="A17" s="1283"/>
      <c r="B17" s="1284" t="s">
        <v>2110</v>
      </c>
      <c r="C17" s="1285" t="s">
        <v>2110</v>
      </c>
      <c r="D17" s="2456" t="s">
        <v>2110</v>
      </c>
      <c r="E17" s="2456"/>
      <c r="F17" s="2456"/>
    </row>
    <row r="18" spans="1:6" ht="20.65" customHeight="1" x14ac:dyDescent="0.2">
      <c r="A18" s="1283"/>
      <c r="B18" s="1284"/>
      <c r="C18" s="1285"/>
      <c r="D18" s="2456"/>
      <c r="E18" s="2456"/>
      <c r="F18" s="2456"/>
    </row>
    <row r="19" spans="1:6" ht="20.65" customHeight="1" x14ac:dyDescent="0.2">
      <c r="A19" s="1283"/>
      <c r="B19" s="1284"/>
      <c r="C19" s="1285"/>
      <c r="D19" s="2456"/>
      <c r="E19" s="2456"/>
      <c r="F19" s="2456"/>
    </row>
    <row r="20" spans="1:6" ht="20.65" customHeight="1" x14ac:dyDescent="0.2">
      <c r="A20" s="1283"/>
      <c r="B20" s="1284"/>
      <c r="C20" s="1285"/>
      <c r="D20" s="2456"/>
      <c r="E20" s="2456"/>
      <c r="F20" s="2456"/>
    </row>
    <row r="21" spans="1:6" ht="20.65" customHeight="1" x14ac:dyDescent="0.2">
      <c r="A21" s="1283"/>
      <c r="B21" s="1284"/>
      <c r="C21" s="1285"/>
      <c r="D21" s="2456"/>
      <c r="E21" s="2456"/>
      <c r="F21" s="2456"/>
    </row>
    <row r="22" spans="1:6" ht="20.65" customHeight="1" x14ac:dyDescent="0.2">
      <c r="A22" s="1283"/>
      <c r="B22" s="1284"/>
      <c r="C22" s="1285"/>
      <c r="D22" s="2456"/>
      <c r="E22" s="2456"/>
      <c r="F22" s="2456"/>
    </row>
    <row r="23" spans="1:6" ht="20.65" customHeight="1" x14ac:dyDescent="0.2">
      <c r="A23" s="1283"/>
      <c r="B23" s="1284"/>
      <c r="C23" s="1285"/>
      <c r="D23" s="2456"/>
      <c r="E23" s="2456"/>
      <c r="F23" s="2456"/>
    </row>
    <row r="24" spans="1:6" ht="20.65" customHeight="1" x14ac:dyDescent="0.2">
      <c r="A24" s="1283"/>
      <c r="B24" s="1284"/>
      <c r="C24" s="1285"/>
      <c r="D24" s="2456"/>
      <c r="E24" s="2456"/>
      <c r="F24" s="2456"/>
    </row>
    <row r="25" spans="1:6" ht="20.65" customHeight="1" x14ac:dyDescent="0.2">
      <c r="A25" s="1283"/>
      <c r="B25" s="1284"/>
      <c r="C25" s="1285"/>
      <c r="D25" s="2456"/>
      <c r="E25" s="2456"/>
      <c r="F25" s="2456"/>
    </row>
    <row r="26" spans="1:6" ht="20.65" customHeight="1" x14ac:dyDescent="0.2">
      <c r="A26" s="1283"/>
      <c r="B26" s="1284"/>
      <c r="C26" s="1285"/>
      <c r="D26" s="2456"/>
      <c r="E26" s="2456"/>
      <c r="F26" s="2456"/>
    </row>
    <row r="27" spans="1:6" ht="20.65" customHeight="1" x14ac:dyDescent="0.2">
      <c r="A27" s="1283"/>
      <c r="B27" s="1284"/>
      <c r="C27" s="1285"/>
      <c r="D27" s="2456"/>
      <c r="E27" s="2456"/>
      <c r="F27" s="2456"/>
    </row>
    <row r="28" spans="1:6" ht="20.65" customHeight="1" x14ac:dyDescent="0.2">
      <c r="A28" s="1283"/>
      <c r="B28" s="1284"/>
      <c r="C28" s="1285"/>
      <c r="D28" s="2456"/>
      <c r="E28" s="2456"/>
      <c r="F28" s="2456"/>
    </row>
    <row r="29" spans="1:6" ht="20.65" customHeight="1" x14ac:dyDescent="0.2">
      <c r="A29" s="1283"/>
      <c r="B29" s="1284"/>
      <c r="C29" s="1285"/>
      <c r="D29" s="2456"/>
      <c r="E29" s="2456"/>
      <c r="F29" s="2456"/>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0" t="s">
        <v>1834</v>
      </c>
      <c r="B32" s="2460"/>
      <c r="C32" s="2460"/>
      <c r="D32" s="2460"/>
      <c r="E32" s="2460"/>
      <c r="F32" s="2460"/>
    </row>
    <row r="33" spans="1:6" ht="13.5" customHeight="1" x14ac:dyDescent="0.2">
      <c r="A33" s="328" t="s">
        <v>1509</v>
      </c>
      <c r="B33" s="328"/>
      <c r="C33" s="1288">
        <v>3358</v>
      </c>
      <c r="D33" s="1928"/>
      <c r="E33" s="1286"/>
    </row>
    <row r="34" spans="1:6" ht="13.5" customHeight="1" x14ac:dyDescent="0.2">
      <c r="A34" s="328" t="s">
        <v>1948</v>
      </c>
      <c r="B34" s="328"/>
      <c r="C34" s="1289">
        <v>0</v>
      </c>
      <c r="D34" s="1928" t="s">
        <v>1671</v>
      </c>
      <c r="E34" s="2461">
        <f>+C33+C34</f>
        <v>3358</v>
      </c>
      <c r="F34" s="2462"/>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t="s">
        <v>2111</v>
      </c>
      <c r="D38" s="1928"/>
      <c r="E38" s="1286"/>
    </row>
    <row r="39" spans="1:6" ht="14.25" customHeight="1" x14ac:dyDescent="0.2">
      <c r="A39" s="328"/>
      <c r="B39" s="328" t="s">
        <v>1511</v>
      </c>
      <c r="C39" s="1292" t="s">
        <v>2111</v>
      </c>
      <c r="D39" s="1928"/>
      <c r="E39" s="1286"/>
    </row>
    <row r="40" spans="1:6" ht="14.25" customHeight="1" x14ac:dyDescent="0.2">
      <c r="A40" s="328"/>
      <c r="B40" s="328" t="s">
        <v>1512</v>
      </c>
      <c r="C40" s="1292" t="s">
        <v>2111</v>
      </c>
      <c r="D40" s="1928"/>
      <c r="E40" s="1286"/>
    </row>
    <row r="41" spans="1:6" ht="14.25" customHeight="1" x14ac:dyDescent="0.2">
      <c r="A41" s="328"/>
      <c r="B41" s="328" t="s">
        <v>1513</v>
      </c>
      <c r="C41" s="1292" t="s">
        <v>2111</v>
      </c>
      <c r="D41" s="1928"/>
      <c r="E41" s="1286"/>
    </row>
    <row r="42" spans="1:6" ht="14.25" customHeight="1" x14ac:dyDescent="0.2">
      <c r="A42" s="328" t="s">
        <v>1514</v>
      </c>
      <c r="B42" s="328"/>
      <c r="C42" s="1926" t="s">
        <v>2111</v>
      </c>
      <c r="D42" s="1928"/>
      <c r="E42" s="1286"/>
    </row>
    <row r="43" spans="1:6" ht="14.25" customHeight="1" x14ac:dyDescent="0.2">
      <c r="A43" s="328" t="s">
        <v>1515</v>
      </c>
      <c r="B43" s="328"/>
      <c r="C43" s="1293" t="s">
        <v>2111</v>
      </c>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1835</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3" t="s">
        <v>1672</v>
      </c>
      <c r="C49" s="2463"/>
      <c r="D49" s="2463"/>
      <c r="E49" s="1399"/>
    </row>
    <row r="50" spans="1:5" s="1300" customFormat="1" ht="3.75" customHeight="1" x14ac:dyDescent="0.2">
      <c r="A50" s="1299"/>
      <c r="B50" s="1870"/>
      <c r="C50" s="1870"/>
      <c r="D50" s="1870"/>
      <c r="E50" s="1399"/>
    </row>
    <row r="51" spans="1:5" s="1300" customFormat="1" ht="20.25" customHeight="1" x14ac:dyDescent="0.2">
      <c r="A51" s="1301">
        <v>6</v>
      </c>
      <c r="B51" s="2459" t="s">
        <v>1632</v>
      </c>
      <c r="C51" s="2459"/>
      <c r="D51" s="2459"/>
    </row>
    <row r="52" spans="1:5" ht="14.25" customHeight="1" x14ac:dyDescent="0.2">
      <c r="A52" s="1301"/>
      <c r="B52" s="2459"/>
      <c r="C52" s="2459"/>
      <c r="D52" s="245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44"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I26" activeCellId="1" sqref="I20 I26"/>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8" t="str">
        <f>'Single Audit Cover'!A7</f>
        <v>Career Center of Southern Illinois</v>
      </c>
      <c r="C1" s="2464"/>
      <c r="D1" s="2464"/>
      <c r="E1" s="2464"/>
      <c r="F1" s="2464"/>
      <c r="G1" s="2464"/>
      <c r="H1" s="2464"/>
      <c r="I1" s="2464"/>
      <c r="J1" s="2464"/>
      <c r="K1" s="2464"/>
      <c r="L1" s="2464"/>
      <c r="M1" s="2464"/>
    </row>
    <row r="2" spans="2:14" ht="15" x14ac:dyDescent="0.2">
      <c r="B2" s="2453">
        <f>'Single Audit Cover'!E7</f>
        <v>45000000040</v>
      </c>
      <c r="C2" s="2453"/>
      <c r="D2" s="2453"/>
      <c r="E2" s="2453"/>
      <c r="F2" s="2453"/>
      <c r="G2" s="2453"/>
      <c r="H2" s="2453"/>
      <c r="I2" s="2453"/>
      <c r="J2" s="2453"/>
      <c r="K2" s="2453"/>
      <c r="L2" s="2453"/>
      <c r="M2" s="2453"/>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1836</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1837</v>
      </c>
      <c r="D9" s="1314" t="s">
        <v>1838</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2112</v>
      </c>
      <c r="C11" s="1338"/>
      <c r="D11" s="1339"/>
      <c r="E11" s="1340"/>
      <c r="F11" s="1340"/>
      <c r="G11" s="1340"/>
      <c r="H11" s="1340"/>
      <c r="I11" s="1340"/>
      <c r="J11" s="1340"/>
      <c r="K11" s="1340"/>
      <c r="L11" s="1340">
        <f>+G11+I11+K11</f>
        <v>0</v>
      </c>
      <c r="M11" s="1340"/>
    </row>
    <row r="12" spans="2:14" ht="20.100000000000001" customHeight="1" x14ac:dyDescent="0.2">
      <c r="B12" s="1337" t="s">
        <v>2113</v>
      </c>
      <c r="C12" s="1341"/>
      <c r="D12" s="1342"/>
      <c r="E12" s="1343"/>
      <c r="F12" s="1343"/>
      <c r="G12" s="1343"/>
      <c r="H12" s="1343"/>
      <c r="I12" s="1343"/>
      <c r="J12" s="1343"/>
      <c r="K12" s="1343"/>
      <c r="L12" s="1340">
        <f t="shared" ref="L12:L27" si="0">+G12+I12+K12</f>
        <v>0</v>
      </c>
      <c r="M12" s="1343"/>
    </row>
    <row r="13" spans="2:14" ht="20.100000000000001" customHeight="1" x14ac:dyDescent="0.2">
      <c r="B13" s="1337" t="s">
        <v>2114</v>
      </c>
      <c r="C13" s="1341">
        <v>10.553000000000001</v>
      </c>
      <c r="D13" s="1342" t="s">
        <v>2118</v>
      </c>
      <c r="E13" s="1343"/>
      <c r="F13" s="1343">
        <v>13314</v>
      </c>
      <c r="G13" s="1343"/>
      <c r="H13" s="1343"/>
      <c r="I13" s="1343">
        <v>13314</v>
      </c>
      <c r="J13" s="1343"/>
      <c r="K13" s="1343"/>
      <c r="L13" s="1340">
        <f t="shared" si="0"/>
        <v>13314</v>
      </c>
      <c r="M13" s="1343" t="s">
        <v>2110</v>
      </c>
    </row>
    <row r="14" spans="2:14" ht="20.100000000000001" customHeight="1" x14ac:dyDescent="0.2">
      <c r="B14" s="1337" t="s">
        <v>2114</v>
      </c>
      <c r="C14" s="1341">
        <v>10.553000000000001</v>
      </c>
      <c r="D14" s="1342" t="s">
        <v>2119</v>
      </c>
      <c r="E14" s="1343">
        <v>11070</v>
      </c>
      <c r="F14" s="1343">
        <v>2721</v>
      </c>
      <c r="G14" s="1343">
        <v>11070</v>
      </c>
      <c r="H14" s="1343"/>
      <c r="I14" s="1343">
        <v>2721</v>
      </c>
      <c r="J14" s="1343"/>
      <c r="K14" s="1343"/>
      <c r="L14" s="1340">
        <f t="shared" si="0"/>
        <v>13791</v>
      </c>
      <c r="M14" s="1343" t="s">
        <v>2110</v>
      </c>
    </row>
    <row r="15" spans="2:14" ht="20.100000000000001" customHeight="1" x14ac:dyDescent="0.2">
      <c r="B15" s="1337" t="s">
        <v>2114</v>
      </c>
      <c r="C15" s="1341">
        <v>10.553000000000001</v>
      </c>
      <c r="D15" s="1342" t="s">
        <v>2120</v>
      </c>
      <c r="E15" s="1343">
        <v>2685</v>
      </c>
      <c r="F15" s="1343"/>
      <c r="G15" s="1343">
        <v>2685</v>
      </c>
      <c r="H15" s="1343"/>
      <c r="I15" s="1343"/>
      <c r="J15" s="1343"/>
      <c r="K15" s="1343"/>
      <c r="L15" s="1340">
        <f t="shared" si="0"/>
        <v>2685</v>
      </c>
      <c r="M15" s="1343" t="s">
        <v>2110</v>
      </c>
    </row>
    <row r="16" spans="2:14" ht="20.100000000000001" customHeight="1" x14ac:dyDescent="0.2">
      <c r="B16" s="1337" t="s">
        <v>2115</v>
      </c>
      <c r="C16" s="1341">
        <v>10.555</v>
      </c>
      <c r="D16" s="1342" t="s">
        <v>2121</v>
      </c>
      <c r="E16" s="1343"/>
      <c r="F16" s="1343">
        <v>24173</v>
      </c>
      <c r="G16" s="1343"/>
      <c r="H16" s="1343"/>
      <c r="I16" s="1343">
        <v>24173</v>
      </c>
      <c r="J16" s="1343"/>
      <c r="K16" s="1343"/>
      <c r="L16" s="1340">
        <f t="shared" si="0"/>
        <v>24173</v>
      </c>
      <c r="M16" s="1343" t="s">
        <v>2110</v>
      </c>
    </row>
    <row r="17" spans="2:14" ht="20.100000000000001" customHeight="1" x14ac:dyDescent="0.2">
      <c r="B17" s="1337" t="s">
        <v>2115</v>
      </c>
      <c r="C17" s="1341">
        <v>10.555</v>
      </c>
      <c r="D17" s="1342" t="s">
        <v>2122</v>
      </c>
      <c r="E17" s="1343">
        <v>20102</v>
      </c>
      <c r="F17" s="1343">
        <v>5093</v>
      </c>
      <c r="G17" s="1343">
        <v>20102</v>
      </c>
      <c r="H17" s="1343"/>
      <c r="I17" s="1343">
        <v>5093</v>
      </c>
      <c r="J17" s="1343"/>
      <c r="K17" s="1343"/>
      <c r="L17" s="1340">
        <f t="shared" si="0"/>
        <v>25195</v>
      </c>
      <c r="M17" s="1343" t="s">
        <v>2110</v>
      </c>
    </row>
    <row r="18" spans="2:14" ht="20.100000000000001" customHeight="1" x14ac:dyDescent="0.2">
      <c r="B18" s="1337" t="s">
        <v>2115</v>
      </c>
      <c r="C18" s="1341">
        <v>10.555</v>
      </c>
      <c r="D18" s="1342" t="s">
        <v>2120</v>
      </c>
      <c r="E18" s="1343">
        <v>5282</v>
      </c>
      <c r="F18" s="1343"/>
      <c r="G18" s="1343">
        <v>5282</v>
      </c>
      <c r="H18" s="1343"/>
      <c r="I18" s="1343"/>
      <c r="J18" s="1343"/>
      <c r="K18" s="1343"/>
      <c r="L18" s="1340">
        <f t="shared" si="0"/>
        <v>5282</v>
      </c>
      <c r="M18" s="1343" t="s">
        <v>2110</v>
      </c>
    </row>
    <row r="19" spans="2:14" ht="20.100000000000001" customHeight="1" x14ac:dyDescent="0.2">
      <c r="B19" s="1337" t="s">
        <v>2116</v>
      </c>
      <c r="C19" s="1341">
        <v>10.555</v>
      </c>
      <c r="D19" s="1342" t="s">
        <v>2123</v>
      </c>
      <c r="E19" s="1343">
        <v>3093</v>
      </c>
      <c r="F19" s="1343">
        <v>3358</v>
      </c>
      <c r="G19" s="1343">
        <v>3093</v>
      </c>
      <c r="H19" s="1343"/>
      <c r="I19" s="1343">
        <v>3358</v>
      </c>
      <c r="J19" s="1343"/>
      <c r="K19" s="1343"/>
      <c r="L19" s="1340">
        <f t="shared" si="0"/>
        <v>6451</v>
      </c>
      <c r="M19" s="1343" t="s">
        <v>2110</v>
      </c>
    </row>
    <row r="20" spans="2:14" ht="20.100000000000001" customHeight="1" x14ac:dyDescent="0.2">
      <c r="B20" s="1337" t="s">
        <v>2117</v>
      </c>
      <c r="C20" s="1341"/>
      <c r="D20" s="1342"/>
      <c r="E20" s="1343">
        <f>SUM(E13:E19)</f>
        <v>42232</v>
      </c>
      <c r="F20" s="1343">
        <f>SUM(F13:F19)</f>
        <v>48659</v>
      </c>
      <c r="G20" s="1343">
        <f>SUM(G13:G19)</f>
        <v>42232</v>
      </c>
      <c r="H20" s="1343"/>
      <c r="I20" s="1343">
        <f>SUM(I13:I19)</f>
        <v>48659</v>
      </c>
      <c r="J20" s="1343"/>
      <c r="K20" s="1343"/>
      <c r="L20" s="1340">
        <f t="shared" si="0"/>
        <v>90891</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t="s">
        <v>2124</v>
      </c>
      <c r="C22" s="1341"/>
      <c r="D22" s="1342"/>
      <c r="E22" s="1343"/>
      <c r="F22" s="1343"/>
      <c r="G22" s="1343"/>
      <c r="H22" s="1343"/>
      <c r="I22" s="1343"/>
      <c r="J22" s="1343"/>
      <c r="K22" s="1343"/>
      <c r="L22" s="1340">
        <f t="shared" si="0"/>
        <v>0</v>
      </c>
      <c r="M22" s="1343"/>
    </row>
    <row r="23" spans="2:14" ht="20.100000000000001" customHeight="1" x14ac:dyDescent="0.2">
      <c r="B23" s="1337" t="s">
        <v>2125</v>
      </c>
      <c r="C23" s="1341"/>
      <c r="D23" s="1342"/>
      <c r="E23" s="1343"/>
      <c r="F23" s="1343"/>
      <c r="G23" s="1343"/>
      <c r="H23" s="1343"/>
      <c r="I23" s="1343"/>
      <c r="J23" s="1343"/>
      <c r="K23" s="1343"/>
      <c r="L23" s="1340">
        <f t="shared" si="0"/>
        <v>0</v>
      </c>
      <c r="M23" s="1343"/>
    </row>
    <row r="24" spans="2:14" ht="20.100000000000001" customHeight="1" x14ac:dyDescent="0.2">
      <c r="B24" s="1337" t="s">
        <v>2126</v>
      </c>
      <c r="C24" s="1341">
        <v>17.266999999999999</v>
      </c>
      <c r="D24" s="1342"/>
      <c r="E24" s="1343">
        <v>309887</v>
      </c>
      <c r="F24" s="1343">
        <v>546109</v>
      </c>
      <c r="G24" s="1343">
        <v>309887</v>
      </c>
      <c r="H24" s="1343"/>
      <c r="I24" s="1343">
        <v>438115</v>
      </c>
      <c r="J24" s="1343"/>
      <c r="K24" s="1343">
        <v>107994</v>
      </c>
      <c r="L24" s="1340">
        <f t="shared" si="0"/>
        <v>855996</v>
      </c>
      <c r="M24" s="1343" t="s">
        <v>2110</v>
      </c>
    </row>
    <row r="25" spans="2:14" ht="20.100000000000001" customHeight="1" x14ac:dyDescent="0.2">
      <c r="B25" s="1337" t="s">
        <v>2127</v>
      </c>
      <c r="C25" s="1341">
        <v>17.266999999999999</v>
      </c>
      <c r="D25" s="1342"/>
      <c r="E25" s="1343"/>
      <c r="F25" s="1343">
        <v>-107994</v>
      </c>
      <c r="G25" s="1343"/>
      <c r="H25" s="1343"/>
      <c r="I25" s="1343"/>
      <c r="J25" s="1343"/>
      <c r="K25" s="1343">
        <v>-107994</v>
      </c>
      <c r="L25" s="1340">
        <f t="shared" si="0"/>
        <v>-107994</v>
      </c>
      <c r="M25" s="1343" t="s">
        <v>2110</v>
      </c>
    </row>
    <row r="26" spans="2:14" ht="20.100000000000001" customHeight="1" x14ac:dyDescent="0.2">
      <c r="B26" s="1337" t="s">
        <v>2128</v>
      </c>
      <c r="C26" s="1341"/>
      <c r="D26" s="1342"/>
      <c r="E26" s="1343">
        <f>SUM(E24:E25)</f>
        <v>309887</v>
      </c>
      <c r="F26" s="1343">
        <f t="shared" ref="F26:G26" si="1">SUM(F24:F25)</f>
        <v>438115</v>
      </c>
      <c r="G26" s="1343">
        <f t="shared" si="1"/>
        <v>309887</v>
      </c>
      <c r="H26" s="1343"/>
      <c r="I26" s="1343">
        <f>SUM(I24:I25)</f>
        <v>438115</v>
      </c>
      <c r="J26" s="1343"/>
      <c r="K26" s="1343">
        <f>SUM(K24:K25)</f>
        <v>0</v>
      </c>
      <c r="L26" s="1340">
        <f t="shared" si="0"/>
        <v>748002</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1839</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1840</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1841</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1842</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1843</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45"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1895</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2070</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2068</v>
      </c>
      <c r="B85" s="272"/>
      <c r="C85" s="273"/>
      <c r="D85" s="274"/>
      <c r="E85" s="275"/>
      <c r="F85" s="276">
        <v>0</v>
      </c>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2068</v>
      </c>
      <c r="B88" s="286"/>
      <c r="C88" s="287"/>
      <c r="D88" s="288"/>
      <c r="E88" s="276"/>
      <c r="F88" s="276">
        <v>0</v>
      </c>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2069</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2150</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8" right="0" top="1" bottom="0.75" header="0.19" footer="0.5"/>
  <pageSetup scale="79" firstPageNumber="3" orientation="portrait" useFirstPageNumber="1" r:id="rId1"/>
  <headerFooter scaleWithDoc="0">
    <oddHeader xml:space="preserve">&amp;C </oddHeader>
    <oddFooter xml:space="preserve">&amp;LSee notes to financial statements.&amp;C&amp;P
</oddFooter>
    <firstFooter>&amp;C3</first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I22" activeCellId="1" sqref="I16 I22"/>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8" t="str">
        <f>'Single Audit Cover'!A7</f>
        <v>Career Center of Southern Illinois</v>
      </c>
      <c r="C1" s="2464"/>
      <c r="D1" s="2464"/>
      <c r="E1" s="2464"/>
      <c r="F1" s="2464"/>
      <c r="G1" s="2464"/>
      <c r="H1" s="2464"/>
      <c r="I1" s="2464"/>
      <c r="J1" s="2464"/>
      <c r="K1" s="2464"/>
      <c r="L1" s="2464"/>
      <c r="M1" s="2464"/>
    </row>
    <row r="2" spans="2:14" ht="15" x14ac:dyDescent="0.2">
      <c r="B2" s="2453">
        <f>'Single Audit Cover'!E7</f>
        <v>45000000040</v>
      </c>
      <c r="C2" s="2453"/>
      <c r="D2" s="2453"/>
      <c r="E2" s="2453"/>
      <c r="F2" s="2453"/>
      <c r="G2" s="2453"/>
      <c r="H2" s="2453"/>
      <c r="I2" s="2453"/>
      <c r="J2" s="2453"/>
      <c r="K2" s="2453"/>
      <c r="L2" s="2453"/>
      <c r="M2" s="2453"/>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1836</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1837</v>
      </c>
      <c r="D9" s="1314" t="s">
        <v>1838</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2129</v>
      </c>
      <c r="C11" s="1338"/>
      <c r="D11" s="1339"/>
      <c r="E11" s="1340"/>
      <c r="F11" s="1340"/>
      <c r="G11" s="1340"/>
      <c r="H11" s="1340"/>
      <c r="I11" s="1340"/>
      <c r="J11" s="1340"/>
      <c r="K11" s="1340"/>
      <c r="L11" s="1340">
        <f>+G11+I11+K11</f>
        <v>0</v>
      </c>
      <c r="M11" s="1340"/>
    </row>
    <row r="12" spans="2:14" ht="20.100000000000001" customHeight="1" x14ac:dyDescent="0.2">
      <c r="B12" s="1337" t="s">
        <v>2130</v>
      </c>
      <c r="C12" s="1341"/>
      <c r="D12" s="1342"/>
      <c r="E12" s="1343"/>
      <c r="F12" s="1343"/>
      <c r="G12" s="1343"/>
      <c r="H12" s="1343"/>
      <c r="I12" s="1343"/>
      <c r="J12" s="1343"/>
      <c r="K12" s="1343"/>
      <c r="L12" s="1340">
        <f t="shared" ref="L12:L27" si="0">+G12+I12+K12</f>
        <v>0</v>
      </c>
      <c r="M12" s="1343"/>
    </row>
    <row r="13" spans="2:14" ht="20.100000000000001" customHeight="1" x14ac:dyDescent="0.2">
      <c r="B13" s="1337" t="s">
        <v>2131</v>
      </c>
      <c r="C13" s="1341">
        <v>84.048000000000002</v>
      </c>
      <c r="D13" s="1342"/>
      <c r="E13" s="1343">
        <v>521</v>
      </c>
      <c r="F13" s="1343">
        <v>3236</v>
      </c>
      <c r="G13" s="1343">
        <v>521</v>
      </c>
      <c r="H13" s="1343"/>
      <c r="I13" s="1343">
        <v>3236</v>
      </c>
      <c r="J13" s="1343"/>
      <c r="K13" s="1343"/>
      <c r="L13" s="1340">
        <f t="shared" si="0"/>
        <v>3757</v>
      </c>
      <c r="M13" s="1343" t="s">
        <v>2110</v>
      </c>
    </row>
    <row r="14" spans="2:14" ht="20.100000000000001" customHeight="1" x14ac:dyDescent="0.2">
      <c r="B14" s="1337" t="s">
        <v>2132</v>
      </c>
      <c r="C14" s="1341"/>
      <c r="D14" s="1342"/>
      <c r="E14" s="1343"/>
      <c r="F14" s="1343"/>
      <c r="G14" s="1343"/>
      <c r="H14" s="1343"/>
      <c r="I14" s="1343"/>
      <c r="J14" s="1343"/>
      <c r="K14" s="1343"/>
      <c r="L14" s="1340">
        <f t="shared" si="0"/>
        <v>0</v>
      </c>
      <c r="M14" s="1343"/>
    </row>
    <row r="15" spans="2:14" ht="20.100000000000001" customHeight="1" x14ac:dyDescent="0.2">
      <c r="B15" s="1337" t="s">
        <v>2133</v>
      </c>
      <c r="C15" s="1341">
        <v>84.367000000000004</v>
      </c>
      <c r="D15" s="1342"/>
      <c r="E15" s="1343">
        <v>890</v>
      </c>
      <c r="F15" s="1343"/>
      <c r="G15" s="1343">
        <v>890</v>
      </c>
      <c r="H15" s="1343"/>
      <c r="I15" s="1343"/>
      <c r="J15" s="1343"/>
      <c r="K15" s="1343"/>
      <c r="L15" s="1340">
        <f t="shared" si="0"/>
        <v>890</v>
      </c>
      <c r="M15" s="1343" t="s">
        <v>2110</v>
      </c>
    </row>
    <row r="16" spans="2:14" ht="20.100000000000001" customHeight="1" x14ac:dyDescent="0.2">
      <c r="B16" s="1337" t="s">
        <v>2134</v>
      </c>
      <c r="C16" s="1341"/>
      <c r="D16" s="1342"/>
      <c r="E16" s="1343">
        <f>E13+E15</f>
        <v>1411</v>
      </c>
      <c r="F16" s="1343">
        <f t="shared" ref="F16:G16" si="1">F13+F15</f>
        <v>3236</v>
      </c>
      <c r="G16" s="1343">
        <f t="shared" si="1"/>
        <v>1411</v>
      </c>
      <c r="H16" s="1343"/>
      <c r="I16" s="1343">
        <f>I13+I15</f>
        <v>3236</v>
      </c>
      <c r="J16" s="1343"/>
      <c r="K16" s="1343"/>
      <c r="L16" s="1340">
        <f t="shared" si="0"/>
        <v>4647</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t="s">
        <v>2135</v>
      </c>
      <c r="C18" s="1341"/>
      <c r="D18" s="1342"/>
      <c r="E18" s="1343"/>
      <c r="F18" s="1343"/>
      <c r="G18" s="1343"/>
      <c r="H18" s="1343"/>
      <c r="I18" s="1343"/>
      <c r="J18" s="1343"/>
      <c r="K18" s="1343"/>
      <c r="L18" s="1340">
        <f t="shared" si="0"/>
        <v>0</v>
      </c>
      <c r="M18" s="1343"/>
    </row>
    <row r="19" spans="2:14" ht="20.100000000000001" customHeight="1" x14ac:dyDescent="0.2">
      <c r="B19" s="1337" t="s">
        <v>2136</v>
      </c>
      <c r="C19" s="1341"/>
      <c r="D19" s="1342"/>
      <c r="E19" s="1343"/>
      <c r="F19" s="1343"/>
      <c r="G19" s="1343"/>
      <c r="H19" s="1343"/>
      <c r="I19" s="1343"/>
      <c r="J19" s="1343"/>
      <c r="K19" s="1343"/>
      <c r="L19" s="1340">
        <f t="shared" si="0"/>
        <v>0</v>
      </c>
      <c r="M19" s="1343"/>
    </row>
    <row r="20" spans="2:14" ht="20.100000000000001" customHeight="1" x14ac:dyDescent="0.2">
      <c r="B20" s="1337" t="s">
        <v>2137</v>
      </c>
      <c r="C20" s="1341">
        <v>84.063000000000002</v>
      </c>
      <c r="D20" s="1342"/>
      <c r="E20" s="1343">
        <v>284573</v>
      </c>
      <c r="F20" s="1343">
        <v>488744</v>
      </c>
      <c r="G20" s="1343">
        <v>284573</v>
      </c>
      <c r="H20" s="1343"/>
      <c r="I20" s="1343">
        <v>488744</v>
      </c>
      <c r="J20" s="1343"/>
      <c r="K20" s="1343"/>
      <c r="L20" s="1340">
        <f t="shared" si="0"/>
        <v>773317</v>
      </c>
      <c r="M20" s="1343"/>
    </row>
    <row r="21" spans="2:14" ht="20.100000000000001" customHeight="1" x14ac:dyDescent="0.2">
      <c r="B21" s="1337" t="s">
        <v>2138</v>
      </c>
      <c r="C21" s="1341">
        <v>84.268000000000001</v>
      </c>
      <c r="D21" s="1342"/>
      <c r="E21" s="1343">
        <v>509074</v>
      </c>
      <c r="F21" s="1343">
        <v>783797</v>
      </c>
      <c r="G21" s="1343">
        <v>509074</v>
      </c>
      <c r="H21" s="1343"/>
      <c r="I21" s="1343">
        <v>783797</v>
      </c>
      <c r="J21" s="1343"/>
      <c r="K21" s="1343"/>
      <c r="L21" s="1340">
        <f t="shared" si="0"/>
        <v>1292871</v>
      </c>
      <c r="M21" s="1343" t="s">
        <v>2110</v>
      </c>
    </row>
    <row r="22" spans="2:14" ht="20.100000000000001" customHeight="1" x14ac:dyDescent="0.2">
      <c r="B22" s="1337" t="s">
        <v>2139</v>
      </c>
      <c r="C22" s="1341"/>
      <c r="D22" s="1342"/>
      <c r="E22" s="1343">
        <f>SUM(E20:E21)</f>
        <v>793647</v>
      </c>
      <c r="F22" s="1343">
        <f t="shared" ref="F22:G22" si="2">SUM(F20:F21)</f>
        <v>1272541</v>
      </c>
      <c r="G22" s="1343">
        <f t="shared" si="2"/>
        <v>793647</v>
      </c>
      <c r="H22" s="1343"/>
      <c r="I22" s="1343">
        <f>SUM(I20:I21)</f>
        <v>1272541</v>
      </c>
      <c r="J22" s="1343"/>
      <c r="K22" s="1343"/>
      <c r="L22" s="1340">
        <f t="shared" si="0"/>
        <v>2066188</v>
      </c>
      <c r="M22" s="1343" t="s">
        <v>2110</v>
      </c>
    </row>
    <row r="23" spans="2:14" ht="20.100000000000001" customHeight="1" x14ac:dyDescent="0.2">
      <c r="B23" s="1337" t="s">
        <v>2140</v>
      </c>
      <c r="C23" s="1341"/>
      <c r="D23" s="1342"/>
      <c r="E23" s="1343">
        <f>E22</f>
        <v>793647</v>
      </c>
      <c r="F23" s="1343">
        <f t="shared" ref="F23:G23" si="3">F22</f>
        <v>1272541</v>
      </c>
      <c r="G23" s="1343">
        <f t="shared" si="3"/>
        <v>793647</v>
      </c>
      <c r="H23" s="1343"/>
      <c r="I23" s="1343">
        <f>I22</f>
        <v>1272541</v>
      </c>
      <c r="J23" s="1343"/>
      <c r="K23" s="1343"/>
      <c r="L23" s="1340">
        <f t="shared" si="0"/>
        <v>2066188</v>
      </c>
      <c r="M23" s="1343"/>
    </row>
    <row r="24" spans="2:14" ht="20.100000000000001" customHeight="1" x14ac:dyDescent="0.2">
      <c r="B24" s="1337" t="s">
        <v>2141</v>
      </c>
      <c r="C24" s="1341"/>
      <c r="D24" s="1342"/>
      <c r="E24" s="1343">
        <f>E16+E23</f>
        <v>795058</v>
      </c>
      <c r="F24" s="1343">
        <f t="shared" ref="F24:G24" si="4">F16+F23</f>
        <v>1275777</v>
      </c>
      <c r="G24" s="1343">
        <f t="shared" si="4"/>
        <v>795058</v>
      </c>
      <c r="H24" s="1343"/>
      <c r="I24" s="1343">
        <f>I16+I23</f>
        <v>1275777</v>
      </c>
      <c r="J24" s="1343"/>
      <c r="K24" s="1343"/>
      <c r="L24" s="1340">
        <f t="shared" si="0"/>
        <v>2070835</v>
      </c>
      <c r="M24" s="1343"/>
    </row>
    <row r="25" spans="2:14" ht="20.100000000000001" customHeight="1" x14ac:dyDescent="0.2">
      <c r="B25" s="1337" t="s">
        <v>2142</v>
      </c>
      <c r="C25" s="1341"/>
      <c r="D25" s="1342"/>
      <c r="E25" s="1343">
        <f>' SEFA'!E20+' SEFA'!E26+' SEFA (2)'!E24</f>
        <v>1147177</v>
      </c>
      <c r="F25" s="1343">
        <f>' SEFA'!F20+' SEFA'!F26+' SEFA (2)'!F24</f>
        <v>1762551</v>
      </c>
      <c r="G25" s="1343">
        <f>' SEFA'!G20+' SEFA'!G26+' SEFA (2)'!G24</f>
        <v>1147177</v>
      </c>
      <c r="H25" s="1343"/>
      <c r="I25" s="1343">
        <f>' SEFA'!I20+' SEFA'!I26+' SEFA (2)'!I24</f>
        <v>1762551</v>
      </c>
      <c r="J25" s="1343"/>
      <c r="K25" s="1343"/>
      <c r="L25" s="1340">
        <f t="shared" si="0"/>
        <v>2909728</v>
      </c>
      <c r="M25" s="1343"/>
    </row>
    <row r="26" spans="2:14" ht="20.100000000000001" customHeight="1" x14ac:dyDescent="0.2">
      <c r="B26" s="1337" t="s">
        <v>2143</v>
      </c>
      <c r="C26" s="1341"/>
      <c r="D26" s="1342"/>
      <c r="E26" s="1343"/>
      <c r="F26" s="1343"/>
      <c r="G26" s="1343"/>
      <c r="H26" s="1343"/>
      <c r="I26" s="1343"/>
      <c r="J26" s="1343"/>
      <c r="K26" s="1343"/>
      <c r="L26" s="1340">
        <f t="shared" si="0"/>
        <v>0</v>
      </c>
      <c r="M26" s="1343"/>
    </row>
    <row r="27" spans="2:14" ht="20.100000000000001" customHeight="1" x14ac:dyDescent="0.2">
      <c r="B27" s="1337" t="s">
        <v>2144</v>
      </c>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1839</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1840</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1841</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1842</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1843</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46"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election activeCell="D47" sqref="D47"/>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3" t="str">
        <f>'Single Audit Cover'!A7</f>
        <v>Career Center of Southern Illinois</v>
      </c>
      <c r="C1" s="2474"/>
      <c r="D1" s="2474"/>
      <c r="E1" s="2474"/>
      <c r="F1" s="2474"/>
      <c r="G1" s="2474"/>
      <c r="H1" s="2474"/>
      <c r="I1" s="2474"/>
      <c r="J1" s="1422"/>
    </row>
    <row r="2" spans="2:10" s="317" customFormat="1" ht="12.75" customHeight="1" x14ac:dyDescent="0.2">
      <c r="B2" s="2475">
        <f>'Single Audit Cover'!E7</f>
        <v>45000000040</v>
      </c>
      <c r="C2" s="2476"/>
      <c r="D2" s="2476"/>
      <c r="E2" s="2476"/>
      <c r="F2" s="2476"/>
      <c r="G2" s="2476"/>
      <c r="H2" s="2476"/>
      <c r="I2" s="2476"/>
      <c r="J2" s="1422"/>
    </row>
    <row r="3" spans="2:10" s="317" customFormat="1" ht="12.75" customHeight="1" x14ac:dyDescent="0.2">
      <c r="B3" s="2477" t="s">
        <v>1347</v>
      </c>
      <c r="C3" s="2478"/>
      <c r="D3" s="2478"/>
      <c r="E3" s="2478"/>
      <c r="F3" s="2478"/>
      <c r="G3" s="2478"/>
      <c r="H3" s="2478"/>
      <c r="I3" s="2478"/>
      <c r="J3" s="1423"/>
    </row>
    <row r="4" spans="2:10" s="317" customFormat="1" ht="12.75" customHeight="1" x14ac:dyDescent="0.2">
      <c r="B4" s="2477" t="str">
        <f>'Single Audit Cover'!A4</f>
        <v>Year Ending June 30, 2018</v>
      </c>
      <c r="C4" s="2478"/>
      <c r="D4" s="2478"/>
      <c r="E4" s="2478"/>
      <c r="F4" s="2478"/>
      <c r="G4" s="2478"/>
      <c r="H4" s="2478"/>
      <c r="I4" s="2478"/>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7" t="s">
        <v>1346</v>
      </c>
      <c r="C7" s="2478"/>
      <c r="D7" s="2478"/>
      <c r="E7" s="2478"/>
      <c r="F7" s="2478"/>
      <c r="G7" s="2478"/>
      <c r="H7" s="2478"/>
      <c r="I7" s="2478"/>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9" t="s">
        <v>2145</v>
      </c>
      <c r="D11" s="2479"/>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2076</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2076</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2076</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2076</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2076</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0" t="s">
        <v>2145</v>
      </c>
      <c r="E29" s="2480"/>
      <c r="F29" s="2480"/>
      <c r="G29" s="2480"/>
      <c r="H29" s="2480"/>
      <c r="I29" s="2480"/>
    </row>
    <row r="30" spans="2:9" s="317" customFormat="1" x14ac:dyDescent="0.2">
      <c r="B30" s="1368"/>
      <c r="C30" s="322"/>
      <c r="D30" s="1433" t="s">
        <v>1850</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2076</v>
      </c>
      <c r="H33" s="1300" t="s">
        <v>101</v>
      </c>
    </row>
    <row r="35" spans="2:9" x14ac:dyDescent="0.2">
      <c r="B35" s="1441" t="s">
        <v>1851</v>
      </c>
      <c r="C35" s="1442"/>
      <c r="D35" s="1267"/>
    </row>
    <row r="36" spans="2:9" ht="6" customHeight="1" x14ac:dyDescent="0.2">
      <c r="B36" s="1441"/>
      <c r="C36" s="1442"/>
      <c r="D36" s="1267"/>
    </row>
    <row r="37" spans="2:9" ht="17.25" customHeight="1" x14ac:dyDescent="0.2">
      <c r="B37" s="1443" t="s">
        <v>1852</v>
      </c>
      <c r="C37" s="2481" t="s">
        <v>1853</v>
      </c>
      <c r="D37" s="2482"/>
      <c r="E37" s="2482"/>
      <c r="F37" s="2483"/>
      <c r="G37" s="2481" t="s">
        <v>1674</v>
      </c>
      <c r="H37" s="2482"/>
      <c r="I37" s="2483"/>
    </row>
    <row r="38" spans="2:9" ht="16.5" customHeight="1" x14ac:dyDescent="0.2">
      <c r="B38" s="1444">
        <v>84.063000000000002</v>
      </c>
      <c r="C38" s="2467" t="s">
        <v>2147</v>
      </c>
      <c r="D38" s="2468"/>
      <c r="E38" s="2468"/>
      <c r="F38" s="2469"/>
      <c r="G38" s="2484">
        <v>488744</v>
      </c>
      <c r="H38" s="2484"/>
      <c r="I38" s="2484"/>
    </row>
    <row r="39" spans="2:9" ht="16.5" customHeight="1" x14ac:dyDescent="0.2">
      <c r="B39" s="1444">
        <v>84.268000000000001</v>
      </c>
      <c r="C39" s="2467" t="s">
        <v>2146</v>
      </c>
      <c r="D39" s="2468"/>
      <c r="E39" s="2468"/>
      <c r="F39" s="2469"/>
      <c r="G39" s="2470">
        <v>783797</v>
      </c>
      <c r="H39" s="2471"/>
      <c r="I39" s="2472"/>
    </row>
    <row r="40" spans="2:9" ht="16.5" customHeight="1" x14ac:dyDescent="0.2">
      <c r="B40" s="1444"/>
      <c r="C40" s="2467"/>
      <c r="D40" s="2468"/>
      <c r="E40" s="2468"/>
      <c r="F40" s="2469"/>
      <c r="G40" s="2484"/>
      <c r="H40" s="2484"/>
      <c r="I40" s="2484"/>
    </row>
    <row r="41" spans="2:9" ht="16.5" customHeight="1" x14ac:dyDescent="0.2">
      <c r="B41" s="1444"/>
      <c r="C41" s="2467"/>
      <c r="D41" s="2468"/>
      <c r="E41" s="2468"/>
      <c r="F41" s="2469"/>
      <c r="G41" s="2470"/>
      <c r="H41" s="2471"/>
      <c r="I41" s="2472"/>
    </row>
    <row r="42" spans="2:9" ht="16.5" customHeight="1" x14ac:dyDescent="0.2">
      <c r="B42" s="1444"/>
      <c r="C42" s="2467"/>
      <c r="D42" s="2468"/>
      <c r="E42" s="2468"/>
      <c r="F42" s="2469"/>
      <c r="G42" s="2484"/>
      <c r="H42" s="2484"/>
      <c r="I42" s="2484"/>
    </row>
    <row r="43" spans="2:9" ht="16.5" customHeight="1" x14ac:dyDescent="0.2">
      <c r="B43" s="1444"/>
      <c r="C43" s="2485" t="s">
        <v>1675</v>
      </c>
      <c r="D43" s="2486"/>
      <c r="E43" s="2486"/>
      <c r="F43" s="2487"/>
      <c r="G43" s="2488">
        <f>SUM(G38:I42)</f>
        <v>1272541</v>
      </c>
      <c r="H43" s="2488"/>
      <c r="I43" s="2488"/>
    </row>
    <row r="44" spans="2:9" ht="12.75" customHeight="1" x14ac:dyDescent="0.2"/>
    <row r="45" spans="2:9" ht="12.75" customHeight="1" x14ac:dyDescent="0.2">
      <c r="B45" s="1435" t="s">
        <v>1951</v>
      </c>
      <c r="D45" s="2489">
        <v>1762551</v>
      </c>
      <c r="E45" s="2490"/>
    </row>
    <row r="46" spans="2:9" ht="5.25" customHeight="1" x14ac:dyDescent="0.2">
      <c r="B46" s="1445"/>
      <c r="D46" s="1446"/>
      <c r="E46" s="1447"/>
    </row>
    <row r="47" spans="2:9" ht="12.75" customHeight="1" x14ac:dyDescent="0.2">
      <c r="B47" s="1300" t="s">
        <v>1676</v>
      </c>
      <c r="C47" s="1300"/>
      <c r="D47" s="1448">
        <f>+G43/D45</f>
        <v>0.72198818644112994</v>
      </c>
      <c r="E47" s="1449"/>
      <c r="F47" s="1450"/>
      <c r="I47" s="1451"/>
    </row>
    <row r="48" spans="2:9" ht="9.9499999999999993" customHeight="1" x14ac:dyDescent="0.2"/>
    <row r="49" spans="1:9" x14ac:dyDescent="0.2">
      <c r="B49" s="1368" t="s">
        <v>1335</v>
      </c>
      <c r="C49" s="1282"/>
      <c r="D49" s="1282"/>
      <c r="E49" s="2491">
        <v>750000</v>
      </c>
      <c r="F49" s="2491"/>
      <c r="G49" s="2491"/>
      <c r="H49" s="322"/>
    </row>
    <row r="51" spans="1:9" ht="13.5" customHeight="1" x14ac:dyDescent="0.2">
      <c r="B51" s="1368" t="s">
        <v>1334</v>
      </c>
      <c r="C51" s="1282"/>
      <c r="E51" s="1438" t="s">
        <v>2076</v>
      </c>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1854</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1855</v>
      </c>
      <c r="C58" s="1464"/>
      <c r="D58" s="1464"/>
    </row>
    <row r="59" spans="1:9" s="1461" customFormat="1" ht="3.95" customHeight="1" x14ac:dyDescent="0.2">
      <c r="A59" s="1458"/>
      <c r="B59" s="1463"/>
      <c r="C59" s="1464"/>
      <c r="D59" s="1464"/>
    </row>
    <row r="60" spans="1:9" s="1461" customFormat="1" ht="13.5" customHeight="1" x14ac:dyDescent="0.2">
      <c r="A60" s="1458"/>
      <c r="B60" s="1463" t="s">
        <v>1856</v>
      </c>
      <c r="C60" s="1464"/>
      <c r="D60" s="1464"/>
    </row>
    <row r="61" spans="1:9" s="1461" customFormat="1" ht="3.95" customHeight="1" x14ac:dyDescent="0.2">
      <c r="A61" s="1458"/>
      <c r="B61" s="1463"/>
      <c r="C61" s="1464"/>
      <c r="D61" s="1464"/>
    </row>
    <row r="62" spans="1:9" s="1461" customFormat="1" ht="12.75" customHeight="1" x14ac:dyDescent="0.2">
      <c r="A62" s="1458"/>
      <c r="B62" s="1463" t="s">
        <v>1857</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7"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K19" sqref="K1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3" t="str">
        <f>'Single Audit Cover'!A7</f>
        <v>Career Center of Southern Illinois</v>
      </c>
      <c r="C1" s="2473"/>
      <c r="D1" s="2473"/>
      <c r="E1" s="2473"/>
      <c r="F1" s="2473"/>
      <c r="G1" s="2473"/>
      <c r="H1" s="2473"/>
      <c r="I1" s="2473"/>
      <c r="J1" s="2473"/>
      <c r="K1" s="2473"/>
      <c r="L1" s="1374"/>
      <c r="M1" s="1374"/>
    </row>
    <row r="2" spans="1:13" ht="12" customHeight="1" x14ac:dyDescent="0.2">
      <c r="B2" s="2475">
        <f>'Single Audit Cover'!E7</f>
        <v>45000000040</v>
      </c>
      <c r="C2" s="2475"/>
      <c r="D2" s="2475"/>
      <c r="E2" s="2475"/>
      <c r="F2" s="2475"/>
      <c r="G2" s="2475"/>
      <c r="H2" s="2475"/>
      <c r="I2" s="2475"/>
      <c r="J2" s="2475"/>
      <c r="K2" s="2475"/>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1844</v>
      </c>
      <c r="C10" s="1385" t="s">
        <v>1952</v>
      </c>
      <c r="D10" s="1386" t="s">
        <v>2148</v>
      </c>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1845</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1846</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1847</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1848</v>
      </c>
      <c r="C38" s="1420"/>
    </row>
    <row r="39" spans="1:13" ht="9.6" customHeight="1" x14ac:dyDescent="0.2">
      <c r="B39" s="1300" t="s">
        <v>1348</v>
      </c>
      <c r="C39" s="1300"/>
      <c r="M39" s="1421"/>
    </row>
    <row r="40" spans="1:13" ht="12.6" customHeight="1" x14ac:dyDescent="0.2">
      <c r="B40" s="1420" t="s">
        <v>1849</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8"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Y27" sqref="Y27"/>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Career Center of Southern Illinois</v>
      </c>
      <c r="C1" s="2498"/>
      <c r="D1" s="2498"/>
      <c r="E1" s="2498"/>
      <c r="F1" s="2498"/>
      <c r="G1" s="2498"/>
      <c r="H1" s="2498"/>
      <c r="I1" s="2498"/>
      <c r="J1" s="2498"/>
      <c r="K1" s="2498"/>
      <c r="L1" s="1465"/>
    </row>
    <row r="2" spans="1:12" ht="12.75" customHeight="1" x14ac:dyDescent="0.2">
      <c r="B2" s="2499">
        <f>'Single Audit Cover'!E7</f>
        <v>45000000040</v>
      </c>
      <c r="C2" s="2499"/>
      <c r="D2" s="2499"/>
      <c r="E2" s="2499"/>
      <c r="F2" s="2499"/>
      <c r="G2" s="2499"/>
      <c r="H2" s="2499"/>
      <c r="I2" s="2499"/>
      <c r="J2" s="2499"/>
      <c r="K2" s="2499"/>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0" t="s">
        <v>1375</v>
      </c>
      <c r="C6" s="2500"/>
      <c r="D6" s="2500"/>
      <c r="E6" s="2500"/>
      <c r="F6" s="2500"/>
      <c r="G6" s="2500"/>
      <c r="H6" s="2500"/>
      <c r="I6" s="2500"/>
      <c r="J6" s="2500"/>
      <c r="K6" s="2500"/>
      <c r="L6" s="322"/>
    </row>
    <row r="7" spans="1:12" ht="4.5" customHeight="1" x14ac:dyDescent="0.2">
      <c r="B7" s="1379"/>
      <c r="C7" s="1379"/>
      <c r="D7" s="1379"/>
      <c r="E7" s="1379"/>
      <c r="F7" s="1379"/>
      <c r="G7" s="1380"/>
      <c r="H7" s="1379"/>
      <c r="I7" s="1380"/>
      <c r="J7" s="1379"/>
      <c r="K7" s="1379"/>
      <c r="L7" s="322"/>
    </row>
    <row r="8" spans="1:12" ht="13.5" customHeight="1" x14ac:dyDescent="0.2">
      <c r="B8" s="1387" t="s">
        <v>1858</v>
      </c>
      <c r="C8" s="1467" t="s">
        <v>1952</v>
      </c>
      <c r="D8" s="1468" t="s">
        <v>2148</v>
      </c>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0"/>
      <c r="G12" s="2480"/>
      <c r="H12" s="2480"/>
      <c r="I12" s="2480"/>
      <c r="J12" s="2480"/>
      <c r="K12" s="2480"/>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1"/>
      <c r="E14" s="2501"/>
      <c r="F14" s="2501"/>
      <c r="H14" s="1475" t="s">
        <v>1370</v>
      </c>
      <c r="I14" s="2502"/>
      <c r="J14" s="2502"/>
      <c r="K14" s="2502"/>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2"/>
      <c r="E16" s="2502"/>
      <c r="F16" s="2502"/>
      <c r="G16" s="2502"/>
      <c r="H16" s="2502"/>
      <c r="I16" s="2502"/>
      <c r="J16" s="2502"/>
      <c r="K16" s="2502"/>
      <c r="L16" s="322"/>
    </row>
    <row r="17" spans="2:12" ht="13.5" customHeight="1" x14ac:dyDescent="0.2">
      <c r="B17" s="1387" t="s">
        <v>1368</v>
      </c>
      <c r="C17" s="1387"/>
      <c r="D17" s="2503"/>
      <c r="E17" s="2503"/>
      <c r="F17" s="2503"/>
      <c r="G17" s="2503"/>
      <c r="H17" s="2503"/>
      <c r="I17" s="2503"/>
      <c r="J17" s="2503"/>
      <c r="K17" s="2503"/>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1859</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1860</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1861</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1862</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1863</v>
      </c>
      <c r="C48" s="1419"/>
      <c r="D48" s="322"/>
      <c r="E48" s="322"/>
      <c r="F48" s="322"/>
    </row>
    <row r="49" spans="2:3" s="317" customFormat="1" ht="10.5" customHeight="1" x14ac:dyDescent="0.2">
      <c r="B49" s="1420" t="s">
        <v>1864</v>
      </c>
      <c r="C49" s="1420"/>
    </row>
    <row r="50" spans="2:3" s="317" customFormat="1" ht="11.1" customHeight="1" x14ac:dyDescent="0.2">
      <c r="B50" s="1420" t="s">
        <v>1865</v>
      </c>
      <c r="C50" s="1420"/>
    </row>
    <row r="51" spans="2:3" s="317" customFormat="1" ht="11.1" customHeight="1" x14ac:dyDescent="0.2">
      <c r="B51" s="1420" t="s">
        <v>1866</v>
      </c>
      <c r="C51" s="1420"/>
    </row>
    <row r="52" spans="2:3" s="317" customFormat="1" ht="11.1" customHeight="1" x14ac:dyDescent="0.2">
      <c r="B52" s="1420" t="s">
        <v>1867</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9"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F14" sqref="F14"/>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3" t="str">
        <f>'Single Audit Cover'!A7</f>
        <v>Career Center of Southern Illinois</v>
      </c>
      <c r="C1" s="2473"/>
      <c r="D1" s="2473"/>
      <c r="E1" s="1491"/>
    </row>
    <row r="2" spans="2:5" s="1282" customFormat="1" ht="12.75" customHeight="1" x14ac:dyDescent="0.2">
      <c r="B2" s="2475">
        <f>'Single Audit Cover'!E7</f>
        <v>45000000040</v>
      </c>
      <c r="C2" s="2475"/>
      <c r="D2" s="2475"/>
      <c r="E2" s="1492"/>
    </row>
    <row r="3" spans="2:5" ht="12.75" customHeight="1" x14ac:dyDescent="0.2">
      <c r="B3" s="2494" t="s">
        <v>1868</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1869</v>
      </c>
      <c r="C5" s="328"/>
      <c r="D5" s="328"/>
      <c r="E5" s="328"/>
    </row>
    <row r="6" spans="2:5" s="1282" customFormat="1" ht="13.5" customHeight="1" x14ac:dyDescent="0.2">
      <c r="B6" s="1495" t="s">
        <v>1382</v>
      </c>
      <c r="C6" s="1495" t="s">
        <v>1381</v>
      </c>
      <c r="D6" s="1495" t="s">
        <v>1870</v>
      </c>
    </row>
    <row r="7" spans="2:5" ht="13.5" customHeight="1" x14ac:dyDescent="0.2">
      <c r="B7" s="1496" t="s">
        <v>2110</v>
      </c>
      <c r="C7" s="324" t="s">
        <v>2110</v>
      </c>
      <c r="D7" s="324" t="s">
        <v>2110</v>
      </c>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1871</v>
      </c>
    </row>
    <row r="46" spans="2:5" ht="12.2" customHeight="1" x14ac:dyDescent="0.2">
      <c r="B46" s="1505" t="s">
        <v>1872</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50"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54">
        <f>ROUND(D10+F10+H10,5)</f>
        <v>0</v>
      </c>
      <c r="K10" s="222"/>
      <c r="L10" s="355"/>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3819253</v>
      </c>
      <c r="E16" s="356"/>
      <c r="F16" s="1755">
        <f>SUM('Acct Summary 7-8'!C17,'Acct Summary 7-8'!D17,'Acct Summary 7-8'!F17)</f>
        <v>2350990</v>
      </c>
      <c r="G16" s="356"/>
      <c r="H16" s="1755">
        <f>SUM(D16-F16)</f>
        <v>1468263</v>
      </c>
      <c r="I16" s="222"/>
      <c r="J16" s="1755">
        <f>SUM('Acct Summary 7-8'!C81,'Acct Summary 7-8'!D81,'Acct Summary 7-8'!F81,'Acct Summary 7-8'!I81)</f>
        <v>590581</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1" right="0.25" top="0.75" bottom="1.25" header="0.19" footer="0.5"/>
  <pageSetup scale="80" firstPageNumber="5" orientation="portrait" useFirstPageNumber="1" r:id="rId1"/>
  <headerFooter scaleWithDoc="0">
    <oddHeader xml:space="preserve">&amp;C </oddHeader>
    <oddFooter>&amp;LSee notes to financial statements.&amp;C&amp;P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O23" sqref="O2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Career Center of Southern Illinois</v>
      </c>
      <c r="E7" s="391"/>
      <c r="G7" s="252"/>
      <c r="H7" s="387"/>
      <c r="I7" s="387"/>
      <c r="J7" s="387"/>
      <c r="K7" s="387"/>
      <c r="L7" s="329"/>
      <c r="M7" s="329"/>
      <c r="N7" s="329"/>
      <c r="O7" s="329"/>
      <c r="P7" s="329"/>
    </row>
    <row r="8" spans="1:18" ht="12.75" x14ac:dyDescent="0.2">
      <c r="A8" s="329"/>
      <c r="B8" s="329"/>
      <c r="C8" s="389" t="s">
        <v>1187</v>
      </c>
      <c r="D8" s="392">
        <f>COVER!A13</f>
        <v>45000000040</v>
      </c>
      <c r="E8" s="393"/>
      <c r="G8" s="329"/>
      <c r="H8" s="329"/>
      <c r="I8" s="329"/>
      <c r="J8" s="329"/>
      <c r="K8" s="329"/>
      <c r="L8" s="329"/>
      <c r="M8" s="329"/>
      <c r="N8" s="329"/>
      <c r="O8" s="329"/>
      <c r="P8" s="329"/>
    </row>
    <row r="9" spans="1:18" ht="12.75" x14ac:dyDescent="0.2">
      <c r="A9" s="329"/>
      <c r="B9" s="329"/>
      <c r="C9" s="389" t="s">
        <v>737</v>
      </c>
      <c r="D9" s="394" t="str">
        <f>COVER!A15</f>
        <v>Randolph</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590581</v>
      </c>
      <c r="I12" s="404"/>
      <c r="J12" s="404"/>
      <c r="K12" s="405">
        <f>TRUNC((H12/H13*100000),5)/100000</f>
        <v>0.15463259430000001</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3819253</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2350990</v>
      </c>
      <c r="I17" s="404"/>
      <c r="J17" s="416"/>
      <c r="K17" s="405">
        <f>TRUNC((H17/H18*100000),5)/100000</f>
        <v>0.61556278149999999</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3819253</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475676</v>
      </c>
      <c r="I24" s="422"/>
      <c r="J24" s="422"/>
      <c r="K24" s="423">
        <f>TRUNC(((H24/H25*100000)/100000),2)</f>
        <v>72.83</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6530.5277800000003</v>
      </c>
      <c r="I25" s="425"/>
      <c r="J25" s="425"/>
      <c r="K25" s="410"/>
      <c r="L25" s="218"/>
      <c r="M25" s="360" t="s">
        <v>1207</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2071</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orizontalCentered="1" headings="1"/>
  <pageMargins left="0.25" right="0.25" top="1.25" bottom="1" header="0.5" footer="0.5"/>
  <pageSetup scale="85" firstPageNumber="6" orientation="landscape" useFirstPageNumber="1" r:id="rId3"/>
  <headerFooter scaleWithDoc="0">
    <oddHeader xml:space="preserve">&amp;C </oddHeader>
    <oddFooter>&amp;LSee notes to financial statements.&amp;C&amp;P</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3" activePane="bottomLeft" state="frozen"/>
      <selection activeCell="A7" sqref="A7:D7"/>
      <selection pane="bottomLeft" activeCell="F25" sqref="F2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v>473981</v>
      </c>
      <c r="D4" s="466"/>
      <c r="E4" s="466"/>
      <c r="F4" s="466">
        <v>1695</v>
      </c>
      <c r="G4" s="466"/>
      <c r="H4" s="466"/>
      <c r="I4" s="466"/>
      <c r="J4" s="467"/>
      <c r="K4" s="466"/>
      <c r="L4" s="466"/>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v>95241</v>
      </c>
      <c r="D8" s="467"/>
      <c r="E8" s="467"/>
      <c r="F8" s="467">
        <v>21912</v>
      </c>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v>27929</v>
      </c>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597151</v>
      </c>
      <c r="D13" s="1759">
        <f t="shared" ref="D13:L13" si="0">SUM(D4:D12)</f>
        <v>0</v>
      </c>
      <c r="E13" s="1759">
        <f t="shared" si="0"/>
        <v>0</v>
      </c>
      <c r="F13" s="1759">
        <f t="shared" si="0"/>
        <v>23607</v>
      </c>
      <c r="G13" s="1759">
        <f t="shared" si="0"/>
        <v>0</v>
      </c>
      <c r="H13" s="1759">
        <f t="shared" si="0"/>
        <v>0</v>
      </c>
      <c r="I13" s="1759">
        <f t="shared" si="0"/>
        <v>0</v>
      </c>
      <c r="J13" s="1759">
        <f t="shared" si="0"/>
        <v>0</v>
      </c>
      <c r="K13" s="1759">
        <f t="shared" si="0"/>
        <v>0</v>
      </c>
      <c r="L13" s="1759">
        <f t="shared" si="0"/>
        <v>0</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v>
      </c>
      <c r="N16" s="484"/>
    </row>
    <row r="17" spans="1:14" s="485" customFormat="1" ht="12.75" customHeight="1" x14ac:dyDescent="0.2">
      <c r="A17" s="482" t="s">
        <v>1470</v>
      </c>
      <c r="B17" s="483">
        <v>230</v>
      </c>
      <c r="C17" s="477"/>
      <c r="D17" s="477"/>
      <c r="E17" s="477"/>
      <c r="F17" s="477"/>
      <c r="G17" s="477"/>
      <c r="H17" s="477"/>
      <c r="I17" s="477"/>
      <c r="J17" s="477"/>
      <c r="K17" s="477"/>
      <c r="L17" s="477"/>
      <c r="M17" s="467">
        <v>884403</v>
      </c>
      <c r="N17" s="484"/>
    </row>
    <row r="18" spans="1:14" s="485" customFormat="1" ht="12.75" customHeight="1" x14ac:dyDescent="0.2">
      <c r="A18" s="482" t="s">
        <v>1471</v>
      </c>
      <c r="B18" s="483">
        <v>240</v>
      </c>
      <c r="C18" s="477"/>
      <c r="D18" s="477"/>
      <c r="E18" s="477"/>
      <c r="F18" s="477"/>
      <c r="G18" s="477"/>
      <c r="H18" s="477"/>
      <c r="I18" s="477"/>
      <c r="J18" s="477"/>
      <c r="K18" s="477"/>
      <c r="L18" s="477"/>
      <c r="M18" s="467">
        <v>25215</v>
      </c>
      <c r="N18" s="484"/>
    </row>
    <row r="19" spans="1:14" s="485" customFormat="1" ht="12.75" customHeight="1" x14ac:dyDescent="0.2">
      <c r="A19" s="482" t="s">
        <v>1472</v>
      </c>
      <c r="B19" s="483">
        <v>250</v>
      </c>
      <c r="C19" s="477"/>
      <c r="D19" s="477"/>
      <c r="E19" s="477"/>
      <c r="F19" s="477"/>
      <c r="G19" s="477"/>
      <c r="H19" s="477"/>
      <c r="I19" s="477"/>
      <c r="J19" s="477"/>
      <c r="K19" s="477"/>
      <c r="L19" s="477"/>
      <c r="M19" s="467">
        <v>65084</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8" t="s">
        <v>664</v>
      </c>
      <c r="B23" s="1763"/>
      <c r="C23" s="468"/>
      <c r="D23" s="468"/>
      <c r="E23" s="468"/>
      <c r="F23" s="468"/>
      <c r="G23" s="468"/>
      <c r="H23" s="468"/>
      <c r="I23" s="468"/>
      <c r="J23" s="468"/>
      <c r="K23" s="468"/>
      <c r="L23" s="468"/>
      <c r="M23" s="1710">
        <f>SUM(M15:M22)</f>
        <v>974703</v>
      </c>
      <c r="N23" s="1710">
        <f>SUM(N21:N22)</f>
        <v>0</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v>1909</v>
      </c>
      <c r="D26" s="467"/>
      <c r="E26" s="467"/>
      <c r="F26" s="467">
        <v>15225</v>
      </c>
      <c r="G26" s="467"/>
      <c r="H26" s="467"/>
      <c r="I26" s="467"/>
      <c r="J26" s="474"/>
      <c r="K26" s="467"/>
      <c r="L26" s="468"/>
      <c r="M26" s="468"/>
      <c r="N26" s="468"/>
    </row>
    <row r="27" spans="1:14" ht="13.5" customHeight="1" x14ac:dyDescent="0.2">
      <c r="A27" s="473" t="s">
        <v>668</v>
      </c>
      <c r="B27" s="470">
        <v>430</v>
      </c>
      <c r="C27" s="467">
        <v>4374</v>
      </c>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v>8669</v>
      </c>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c r="M33" s="468"/>
      <c r="N33" s="469"/>
    </row>
    <row r="34" spans="1:14" ht="13.5" customHeight="1" thickBot="1" x14ac:dyDescent="0.25">
      <c r="A34" s="1760" t="s">
        <v>675</v>
      </c>
      <c r="B34" s="1761"/>
      <c r="C34" s="1762">
        <f>SUM(C25:C33)</f>
        <v>14952</v>
      </c>
      <c r="D34" s="1762">
        <f t="shared" ref="D34:K34" si="1">SUM(D25:D33)</f>
        <v>0</v>
      </c>
      <c r="E34" s="1762">
        <f t="shared" si="1"/>
        <v>0</v>
      </c>
      <c r="F34" s="1762">
        <f t="shared" si="1"/>
        <v>15225</v>
      </c>
      <c r="G34" s="1762">
        <f t="shared" si="1"/>
        <v>0</v>
      </c>
      <c r="H34" s="1762">
        <f t="shared" si="1"/>
        <v>0</v>
      </c>
      <c r="I34" s="1762">
        <f t="shared" si="1"/>
        <v>0</v>
      </c>
      <c r="J34" s="1762">
        <f t="shared" si="1"/>
        <v>0</v>
      </c>
      <c r="K34" s="1762">
        <f t="shared" si="1"/>
        <v>0</v>
      </c>
      <c r="L34" s="1743">
        <f>SUM(L33)</f>
        <v>0</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8" t="s">
        <v>674</v>
      </c>
      <c r="B37" s="1763"/>
      <c r="C37" s="477"/>
      <c r="D37" s="477"/>
      <c r="E37" s="477"/>
      <c r="F37" s="477"/>
      <c r="G37" s="477"/>
      <c r="H37" s="477"/>
      <c r="I37" s="477"/>
      <c r="J37" s="477"/>
      <c r="K37" s="477"/>
      <c r="L37" s="480"/>
      <c r="M37" s="468"/>
      <c r="N37" s="1710">
        <f>SUM(N36:N36)</f>
        <v>0</v>
      </c>
    </row>
    <row r="38" spans="1:14" s="329" customFormat="1" ht="13.5" customHeight="1" thickTop="1" x14ac:dyDescent="0.2">
      <c r="A38" s="496" t="s">
        <v>440</v>
      </c>
      <c r="B38" s="483">
        <v>714</v>
      </c>
      <c r="C38" s="466"/>
      <c r="D38" s="466"/>
      <c r="E38" s="466"/>
      <c r="F38" s="466">
        <v>8382</v>
      </c>
      <c r="G38" s="466"/>
      <c r="H38" s="466"/>
      <c r="I38" s="466"/>
      <c r="J38" s="467"/>
      <c r="K38" s="466"/>
      <c r="L38" s="481"/>
      <c r="M38" s="497"/>
      <c r="N38" s="497"/>
    </row>
    <row r="39" spans="1:14" s="329" customFormat="1" ht="13.5" customHeight="1" x14ac:dyDescent="0.2">
      <c r="A39" s="496" t="s">
        <v>360</v>
      </c>
      <c r="B39" s="483">
        <v>730</v>
      </c>
      <c r="C39" s="466">
        <v>582199</v>
      </c>
      <c r="D39" s="466"/>
      <c r="E39" s="466"/>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974703</v>
      </c>
      <c r="N40" s="497"/>
    </row>
    <row r="41" spans="1:14" ht="13.5" customHeight="1" thickBot="1" x14ac:dyDescent="0.25">
      <c r="A41" s="1758" t="s">
        <v>676</v>
      </c>
      <c r="B41" s="1728"/>
      <c r="C41" s="1710">
        <f>(SUM(C34,C37,C38,C39))</f>
        <v>597151</v>
      </c>
      <c r="D41" s="1710">
        <f t="shared" ref="D41:L41" si="2">SUM(D34,D37,D38:D39)</f>
        <v>0</v>
      </c>
      <c r="E41" s="1710">
        <f t="shared" si="2"/>
        <v>0</v>
      </c>
      <c r="F41" s="1710">
        <f t="shared" si="2"/>
        <v>23607</v>
      </c>
      <c r="G41" s="1710">
        <f t="shared" si="2"/>
        <v>0</v>
      </c>
      <c r="H41" s="1710">
        <f t="shared" si="2"/>
        <v>0</v>
      </c>
      <c r="I41" s="1710">
        <f t="shared" si="2"/>
        <v>0</v>
      </c>
      <c r="J41" s="1710">
        <f t="shared" si="2"/>
        <v>0</v>
      </c>
      <c r="K41" s="1710">
        <f t="shared" si="2"/>
        <v>0</v>
      </c>
      <c r="L41" s="1710">
        <f t="shared" si="2"/>
        <v>0</v>
      </c>
      <c r="M41" s="1710">
        <f>SUM(M40)</f>
        <v>974703</v>
      </c>
      <c r="N41" s="1710">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5" right="0.5" top="1.3" bottom="1" header="0.5" footer="0.5"/>
  <pageSetup scale="65" firstPageNumber="7" orientation="landscape" useFirstPageNumber="1" r:id="rId1"/>
  <headerFooter scaleWithDoc="0">
    <oddHeader>&amp;C&amp;"Arial,Bold"&amp;9BASIC FINANCIAL STATEMENTS
STATEMENT OF ASSETS AND LIABILITIES ARISING FROM CASH TRANSACTIONS
STATEMENT OF POSITION AS OF JUNE 30, 2018</oddHeader>
    <oddFooter>&amp;LSee notes to financial statements.&amp;C&amp;P</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6" activePane="bottomLeft" state="frozenSplit"/>
      <selection activeCell="A7" sqref="A7:D7"/>
      <selection pane="bottomLeft" sqref="A1:A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4" t="s">
        <v>1579</v>
      </c>
      <c r="B4" s="1955">
        <v>1000</v>
      </c>
      <c r="C4" s="1764">
        <f>'Revenues 9-14'!C109</f>
        <v>1121520</v>
      </c>
      <c r="D4" s="1764">
        <f>'Revenues 9-14'!D109</f>
        <v>0</v>
      </c>
      <c r="E4" s="1764">
        <f>'Revenues 9-14'!E109</f>
        <v>0</v>
      </c>
      <c r="F4" s="1764">
        <f>'Revenues 9-14'!F109</f>
        <v>0</v>
      </c>
      <c r="G4" s="1764">
        <f>'Revenues 9-14'!G109</f>
        <v>0</v>
      </c>
      <c r="H4" s="1764">
        <f>'Revenues 9-14'!H109</f>
        <v>0</v>
      </c>
      <c r="I4" s="1764">
        <f>'Revenues 9-14'!I109</f>
        <v>0</v>
      </c>
      <c r="J4" s="1764">
        <f>'Revenues 9-14'!J109</f>
        <v>0</v>
      </c>
      <c r="K4" s="1764">
        <f>'Revenues 9-14'!K109</f>
        <v>0</v>
      </c>
      <c r="L4" s="347"/>
    </row>
    <row r="5" spans="1:13" ht="15.75" customHeight="1" x14ac:dyDescent="0.2">
      <c r="A5" s="1598" t="s">
        <v>1580</v>
      </c>
      <c r="B5" s="1599">
        <v>2000</v>
      </c>
      <c r="C5" s="1765">
        <f>'Revenues 9-14'!C114</f>
        <v>258236</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550281</v>
      </c>
      <c r="D6" s="1765">
        <f>'Revenues 9-14'!D173</f>
        <v>0</v>
      </c>
      <c r="E6" s="1765">
        <f>'Revenues 9-14'!E173</f>
        <v>0</v>
      </c>
      <c r="F6" s="1765">
        <f>'Revenues 9-14'!F173</f>
        <v>133260</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1755956</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3685993</v>
      </c>
      <c r="D8" s="1710">
        <f t="shared" ref="D8:K8" si="0">SUM(D4:D7)</f>
        <v>0</v>
      </c>
      <c r="E8" s="1710">
        <f t="shared" si="0"/>
        <v>0</v>
      </c>
      <c r="F8" s="1710">
        <f t="shared" si="0"/>
        <v>133260</v>
      </c>
      <c r="G8" s="1710">
        <f t="shared" si="0"/>
        <v>0</v>
      </c>
      <c r="H8" s="1710">
        <f t="shared" si="0"/>
        <v>0</v>
      </c>
      <c r="I8" s="1710">
        <f t="shared" si="0"/>
        <v>0</v>
      </c>
      <c r="J8" s="1710">
        <f t="shared" si="0"/>
        <v>0</v>
      </c>
      <c r="K8" s="1710">
        <f t="shared" si="0"/>
        <v>0</v>
      </c>
      <c r="L8" s="347"/>
    </row>
    <row r="9" spans="1:13" ht="15.75" thickTop="1" x14ac:dyDescent="0.2">
      <c r="A9" s="514" t="s">
        <v>1752</v>
      </c>
      <c r="B9" s="515">
        <v>3998</v>
      </c>
      <c r="C9" s="481">
        <v>656827</v>
      </c>
      <c r="D9" s="516"/>
      <c r="E9" s="481"/>
      <c r="F9" s="481"/>
      <c r="G9" s="517"/>
      <c r="H9" s="481"/>
      <c r="I9" s="509" t="s">
        <v>1231</v>
      </c>
      <c r="J9" s="478" t="s">
        <v>1231</v>
      </c>
      <c r="K9" s="481"/>
      <c r="L9" s="347"/>
    </row>
    <row r="10" spans="1:13" s="519" customFormat="1" ht="13.5" thickBot="1" x14ac:dyDescent="0.25">
      <c r="A10" s="1758" t="s">
        <v>1235</v>
      </c>
      <c r="B10" s="1731"/>
      <c r="C10" s="1710">
        <f>SUM(C8:C9)</f>
        <v>4342820</v>
      </c>
      <c r="D10" s="1710">
        <f t="shared" ref="D10:K10" si="1">SUM(D8:D9)</f>
        <v>0</v>
      </c>
      <c r="E10" s="1710">
        <f t="shared" si="1"/>
        <v>0</v>
      </c>
      <c r="F10" s="1710">
        <f t="shared" si="1"/>
        <v>133260</v>
      </c>
      <c r="G10" s="1710">
        <f t="shared" si="1"/>
        <v>0</v>
      </c>
      <c r="H10" s="1710">
        <f t="shared" si="1"/>
        <v>0</v>
      </c>
      <c r="I10" s="1710">
        <f t="shared" si="1"/>
        <v>0</v>
      </c>
      <c r="J10" s="1710">
        <f t="shared" si="1"/>
        <v>0</v>
      </c>
      <c r="K10" s="1710">
        <f t="shared" si="1"/>
        <v>0</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1382719</v>
      </c>
      <c r="D12" s="520" t="s">
        <v>1231</v>
      </c>
      <c r="E12" s="468" t="s">
        <v>1231</v>
      </c>
      <c r="F12" s="468" t="s">
        <v>1231</v>
      </c>
      <c r="G12" s="1764">
        <f>'Expenditures 15-22'!K229</f>
        <v>0</v>
      </c>
      <c r="H12" s="521"/>
      <c r="I12" s="468" t="s">
        <v>1231</v>
      </c>
      <c r="J12" s="468" t="s">
        <v>1231</v>
      </c>
      <c r="K12" s="521" t="s">
        <v>1231</v>
      </c>
      <c r="L12" s="347"/>
    </row>
    <row r="13" spans="1:13" ht="15.75" customHeight="1" x14ac:dyDescent="0.2">
      <c r="A13" s="1598" t="s">
        <v>477</v>
      </c>
      <c r="B13" s="1600">
        <v>2000</v>
      </c>
      <c r="C13" s="1765">
        <f>'Expenditures 15-22'!K74</f>
        <v>819403</v>
      </c>
      <c r="D13" s="1765">
        <f>'Expenditures 15-22'!K129</f>
        <v>0</v>
      </c>
      <c r="E13" s="469" t="s">
        <v>1231</v>
      </c>
      <c r="F13" s="1765">
        <f>'Expenditures 15-22'!K184</f>
        <v>148485</v>
      </c>
      <c r="G13" s="1765">
        <f>'Expenditures 15-22'!K279</f>
        <v>0</v>
      </c>
      <c r="H13" s="1765">
        <f>'Expenditures 15-22'!K303</f>
        <v>0</v>
      </c>
      <c r="I13" s="468" t="s">
        <v>1231</v>
      </c>
      <c r="J13" s="1765">
        <f>'Expenditures 15-22'!K330</f>
        <v>0</v>
      </c>
      <c r="K13" s="1769">
        <f>'Expenditures 15-22'!K352</f>
        <v>0</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0</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383</v>
      </c>
      <c r="D16" s="1765">
        <f>'Expenditures 15-22'!K149</f>
        <v>0</v>
      </c>
      <c r="E16" s="1765">
        <f>'Expenditures 15-22'!K172</f>
        <v>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2202505</v>
      </c>
      <c r="D17" s="1710">
        <f t="shared" si="2"/>
        <v>0</v>
      </c>
      <c r="E17" s="1710">
        <f t="shared" si="2"/>
        <v>0</v>
      </c>
      <c r="F17" s="1710">
        <f t="shared" si="2"/>
        <v>148485</v>
      </c>
      <c r="G17" s="1710">
        <f t="shared" si="2"/>
        <v>0</v>
      </c>
      <c r="H17" s="1710">
        <f t="shared" si="2"/>
        <v>0</v>
      </c>
      <c r="I17" s="468"/>
      <c r="J17" s="1710">
        <f>SUM(J12:J16)</f>
        <v>0</v>
      </c>
      <c r="K17" s="1710">
        <f>SUM(K12:K16)</f>
        <v>0</v>
      </c>
      <c r="L17" s="347"/>
    </row>
    <row r="18" spans="1:12" ht="15" customHeight="1" thickTop="1" x14ac:dyDescent="0.2">
      <c r="A18" s="1766" t="s">
        <v>1753</v>
      </c>
      <c r="B18" s="1767">
        <v>4180</v>
      </c>
      <c r="C18" s="1764">
        <f t="shared" ref="C18:H18" si="3">C9</f>
        <v>656827</v>
      </c>
      <c r="D18" s="1764">
        <f t="shared" si="3"/>
        <v>0</v>
      </c>
      <c r="E18" s="1764">
        <f t="shared" si="3"/>
        <v>0</v>
      </c>
      <c r="F18" s="1764">
        <f t="shared" si="3"/>
        <v>0</v>
      </c>
      <c r="G18" s="1764">
        <f t="shared" si="3"/>
        <v>0</v>
      </c>
      <c r="H18" s="1764">
        <f t="shared" si="3"/>
        <v>0</v>
      </c>
      <c r="I18" s="468"/>
      <c r="J18" s="1764" t="str">
        <f>J9</f>
        <v xml:space="preserve"> </v>
      </c>
      <c r="K18" s="1764">
        <f>K9</f>
        <v>0</v>
      </c>
      <c r="L18" s="347"/>
    </row>
    <row r="19" spans="1:12" ht="13.5" thickBot="1" x14ac:dyDescent="0.25">
      <c r="A19" s="1730" t="s">
        <v>526</v>
      </c>
      <c r="B19" s="1731"/>
      <c r="C19" s="1710">
        <f t="shared" ref="C19:H19" si="4">SUM(C17:C18)</f>
        <v>2859332</v>
      </c>
      <c r="D19" s="1710">
        <f t="shared" si="4"/>
        <v>0</v>
      </c>
      <c r="E19" s="1710">
        <f t="shared" si="4"/>
        <v>0</v>
      </c>
      <c r="F19" s="1710">
        <f t="shared" si="4"/>
        <v>148485</v>
      </c>
      <c r="G19" s="1710">
        <f t="shared" si="4"/>
        <v>0</v>
      </c>
      <c r="H19" s="1710">
        <f t="shared" si="4"/>
        <v>0</v>
      </c>
      <c r="I19" s="468"/>
      <c r="J19" s="1710">
        <f>SUM(J17:J18)</f>
        <v>0</v>
      </c>
      <c r="K19" s="1710">
        <f>SUM(K17:K18)</f>
        <v>0</v>
      </c>
      <c r="L19" s="347"/>
    </row>
    <row r="20" spans="1:12" ht="16.5" thickTop="1" thickBot="1" x14ac:dyDescent="0.25">
      <c r="A20" s="2144" t="s">
        <v>1754</v>
      </c>
      <c r="B20" s="2145"/>
      <c r="C20" s="1768">
        <f>C8-C17</f>
        <v>1483488</v>
      </c>
      <c r="D20" s="1768">
        <f t="shared" ref="D20:K20" si="5">D8-D17</f>
        <v>0</v>
      </c>
      <c r="E20" s="1768">
        <f t="shared" si="5"/>
        <v>0</v>
      </c>
      <c r="F20" s="1768">
        <f t="shared" si="5"/>
        <v>-15225</v>
      </c>
      <c r="G20" s="1768">
        <f t="shared" si="5"/>
        <v>0</v>
      </c>
      <c r="H20" s="1768">
        <f t="shared" si="5"/>
        <v>0</v>
      </c>
      <c r="I20" s="1768">
        <f t="shared" si="5"/>
        <v>0</v>
      </c>
      <c r="J20" s="1768">
        <f t="shared" si="5"/>
        <v>0</v>
      </c>
      <c r="K20" s="1768">
        <f t="shared" si="5"/>
        <v>0</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1896</v>
      </c>
      <c r="B30" s="527">
        <v>7160</v>
      </c>
      <c r="C30" s="477"/>
      <c r="D30" s="467"/>
      <c r="E30" s="477"/>
      <c r="F30" s="477"/>
      <c r="G30" s="477"/>
      <c r="H30" s="477"/>
      <c r="I30" s="477"/>
      <c r="J30" s="477"/>
      <c r="K30" s="477"/>
      <c r="L30" s="524"/>
    </row>
    <row r="31" spans="1:12" s="485" customFormat="1" ht="26.25" x14ac:dyDescent="0.2">
      <c r="A31" s="1511" t="s">
        <v>1900</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1899</v>
      </c>
      <c r="B52" s="483">
        <v>8160</v>
      </c>
      <c r="C52" s="477"/>
      <c r="D52" s="477"/>
      <c r="E52" s="477"/>
      <c r="F52" s="477"/>
      <c r="G52" s="477"/>
      <c r="H52" s="477"/>
      <c r="I52" s="477"/>
      <c r="J52" s="477"/>
      <c r="K52" s="1765">
        <f>D30</f>
        <v>0</v>
      </c>
      <c r="L52" s="524"/>
    </row>
    <row r="53" spans="1:12" s="485" customFormat="1" ht="26.25" x14ac:dyDescent="0.2">
      <c r="A53" s="1512" t="s">
        <v>1898</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v>1272541</v>
      </c>
      <c r="D75" s="531"/>
      <c r="E75" s="530"/>
      <c r="F75" s="532"/>
      <c r="G75" s="532"/>
      <c r="H75" s="532"/>
      <c r="I75" s="530"/>
      <c r="J75" s="530"/>
      <c r="K75" s="532"/>
      <c r="L75" s="524"/>
    </row>
    <row r="76" spans="1:12" s="485" customFormat="1" ht="14.25" thickTop="1" thickBot="1" x14ac:dyDescent="0.25">
      <c r="A76" s="2134" t="s">
        <v>460</v>
      </c>
      <c r="B76" s="2135"/>
      <c r="C76" s="1725">
        <f t="shared" ref="C76:K76" si="7">SUM(C47:C75)</f>
        <v>1272541</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6" t="s">
        <v>1239</v>
      </c>
      <c r="B77" s="2137"/>
      <c r="C77" s="1725">
        <f t="shared" ref="C77:K77" si="8">C44-C76</f>
        <v>-1272541</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0" t="s">
        <v>618</v>
      </c>
      <c r="B78" s="2141"/>
      <c r="C78" s="1724">
        <f t="shared" ref="C78:K78" si="9">C20+C77</f>
        <v>210947</v>
      </c>
      <c r="D78" s="1724">
        <f t="shared" si="9"/>
        <v>0</v>
      </c>
      <c r="E78" s="1724">
        <f t="shared" si="9"/>
        <v>0</v>
      </c>
      <c r="F78" s="1724">
        <f t="shared" si="9"/>
        <v>-15225</v>
      </c>
      <c r="G78" s="1724">
        <f t="shared" si="9"/>
        <v>0</v>
      </c>
      <c r="H78" s="1724">
        <f t="shared" si="9"/>
        <v>0</v>
      </c>
      <c r="I78" s="1724">
        <f t="shared" si="9"/>
        <v>0</v>
      </c>
      <c r="J78" s="1724">
        <f t="shared" si="9"/>
        <v>0</v>
      </c>
      <c r="K78" s="1724">
        <f t="shared" si="9"/>
        <v>0</v>
      </c>
      <c r="L78" s="533"/>
    </row>
    <row r="79" spans="1:12" ht="13.5" thickTop="1" x14ac:dyDescent="0.2">
      <c r="A79" s="1516" t="s">
        <v>2072</v>
      </c>
      <c r="B79" s="534"/>
      <c r="C79" s="478">
        <v>371252</v>
      </c>
      <c r="D79" s="535"/>
      <c r="E79" s="535"/>
      <c r="F79" s="535">
        <v>23607</v>
      </c>
      <c r="G79" s="535"/>
      <c r="H79" s="535"/>
      <c r="I79" s="535"/>
      <c r="J79" s="535"/>
      <c r="K79" s="535"/>
      <c r="L79" s="347"/>
    </row>
    <row r="80" spans="1:12" x14ac:dyDescent="0.2">
      <c r="A80" s="2146" t="s">
        <v>1897</v>
      </c>
      <c r="B80" s="2147"/>
      <c r="C80" s="467"/>
      <c r="D80" s="467"/>
      <c r="E80" s="467"/>
      <c r="F80" s="467"/>
      <c r="G80" s="467"/>
      <c r="H80" s="467"/>
      <c r="I80" s="467"/>
      <c r="J80" s="467"/>
      <c r="K80" s="467"/>
      <c r="L80" s="347"/>
    </row>
    <row r="81" spans="1:12" ht="13.5" thickBot="1" x14ac:dyDescent="0.25">
      <c r="A81" s="2138" t="s">
        <v>2073</v>
      </c>
      <c r="B81" s="2139"/>
      <c r="C81" s="1710">
        <f>(SUM(C78:C80))</f>
        <v>582199</v>
      </c>
      <c r="D81" s="1710">
        <f>SUM(D78:D80)</f>
        <v>0</v>
      </c>
      <c r="E81" s="1710">
        <f t="shared" ref="E81:K81" si="10">SUM(E78:E80)</f>
        <v>0</v>
      </c>
      <c r="F81" s="1710">
        <f t="shared" si="10"/>
        <v>8382</v>
      </c>
      <c r="G81" s="1710">
        <f t="shared" si="10"/>
        <v>0</v>
      </c>
      <c r="H81" s="1710">
        <f t="shared" si="10"/>
        <v>0</v>
      </c>
      <c r="I81" s="1710">
        <f t="shared" si="10"/>
        <v>0</v>
      </c>
      <c r="J81" s="1710">
        <f t="shared" si="10"/>
        <v>0</v>
      </c>
      <c r="K81" s="1710">
        <f t="shared" si="10"/>
        <v>0</v>
      </c>
      <c r="L81" s="347"/>
    </row>
    <row r="82" spans="1:12" ht="0.75" customHeight="1" thickTop="1" thickBot="1" x14ac:dyDescent="0.25">
      <c r="A82" s="536" t="s">
        <v>361</v>
      </c>
      <c r="B82" s="537"/>
      <c r="C82" s="538">
        <f>(C81-C79)</f>
        <v>210947</v>
      </c>
      <c r="D82" s="538">
        <f t="shared" ref="D82:K82" si="11">(D81-D79)</f>
        <v>0</v>
      </c>
      <c r="E82" s="538">
        <f t="shared" si="11"/>
        <v>0</v>
      </c>
      <c r="F82" s="538">
        <f t="shared" si="11"/>
        <v>-15225</v>
      </c>
      <c r="G82" s="538">
        <f t="shared" si="11"/>
        <v>0</v>
      </c>
      <c r="H82" s="538">
        <f t="shared" si="11"/>
        <v>0</v>
      </c>
      <c r="I82" s="538">
        <f t="shared" si="11"/>
        <v>0</v>
      </c>
      <c r="J82" s="538">
        <f t="shared" si="11"/>
        <v>0</v>
      </c>
      <c r="K82" s="538">
        <f t="shared" si="11"/>
        <v>0</v>
      </c>
    </row>
    <row r="83" spans="1:12" ht="14.25" hidden="1" thickTop="1" thickBot="1" x14ac:dyDescent="0.25">
      <c r="A83" s="539" t="s">
        <v>362</v>
      </c>
      <c r="B83" s="464"/>
      <c r="C83" s="540">
        <f>C82/C81</f>
        <v>0.36232800125043158</v>
      </c>
      <c r="D83" s="540" t="e">
        <f t="shared" ref="D83:K83" si="12">D82/D81</f>
        <v>#DIV/0!</v>
      </c>
      <c r="E83" s="540" t="e">
        <f t="shared" si="12"/>
        <v>#DIV/0!</v>
      </c>
      <c r="F83" s="540">
        <f t="shared" si="12"/>
        <v>-1.8163922691481746</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5" right="0.25" top="1.25" bottom="0.5" header="0.5" footer="0.3"/>
  <pageSetup scale="70" firstPageNumber="9" orientation="landscape" useFirstPageNumber="1" r:id="rId1"/>
  <headerFooter scaleWithDoc="0">
    <oddHeader xml:space="preserve">&amp;C&amp;"Arial,Bold"&amp;9BASIC FINANCIAL STATEMENT
STATEMENT OF REVENUES RECEIVED/REVENUES, EXPENDITURES/DISBURSED/EXPENDITURES, OTHER 
SOURCES (USES) AND CHANGES IN FUND BALANCE
ALL FUNDS - FOR THE YEAR ENDING JUNE 30, 2018
 </oddHeader>
    <oddFooter>&amp;LSee notes to financial statements.&amp;C&amp;P</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7" sqref="A7:D7"/>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1904</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c r="D5" s="481"/>
      <c r="E5" s="466"/>
      <c r="F5" s="548"/>
      <c r="G5" s="466"/>
      <c r="H5" s="466"/>
      <c r="I5" s="466"/>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0</v>
      </c>
      <c r="D12" s="1729">
        <f t="shared" si="0"/>
        <v>0</v>
      </c>
      <c r="E12" s="1729">
        <f t="shared" si="0"/>
        <v>0</v>
      </c>
      <c r="F12" s="1729">
        <f t="shared" si="0"/>
        <v>0</v>
      </c>
      <c r="G12" s="1729">
        <f t="shared" si="0"/>
        <v>0</v>
      </c>
      <c r="H12" s="1729">
        <f t="shared" si="0"/>
        <v>0</v>
      </c>
      <c r="I12" s="1729">
        <f t="shared" si="0"/>
        <v>0</v>
      </c>
      <c r="J12" s="1729">
        <f t="shared" si="0"/>
        <v>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0</v>
      </c>
      <c r="D18" s="1732">
        <f t="shared" ref="D18:K18" si="1">SUM(D14:D17)</f>
        <v>0</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v>46199</v>
      </c>
      <c r="D28" s="468"/>
      <c r="E28" s="468"/>
      <c r="F28" s="468"/>
      <c r="G28" s="468"/>
      <c r="H28" s="468"/>
      <c r="I28" s="468"/>
      <c r="J28" s="468"/>
      <c r="K28" s="468"/>
    </row>
    <row r="29" spans="1:11" ht="12.75" customHeight="1" x14ac:dyDescent="0.2">
      <c r="A29" s="463" t="s">
        <v>889</v>
      </c>
      <c r="B29" s="470">
        <v>1332</v>
      </c>
      <c r="C29" s="551">
        <v>120338</v>
      </c>
      <c r="D29" s="468"/>
      <c r="E29" s="468"/>
      <c r="F29" s="468"/>
      <c r="G29" s="468"/>
      <c r="H29" s="468"/>
      <c r="I29" s="468"/>
      <c r="J29" s="468"/>
      <c r="K29" s="468"/>
    </row>
    <row r="30" spans="1:11" ht="12.75" customHeight="1" x14ac:dyDescent="0.2">
      <c r="A30" s="463" t="s">
        <v>1084</v>
      </c>
      <c r="B30" s="470">
        <v>1333</v>
      </c>
      <c r="C30" s="551">
        <v>963</v>
      </c>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v>765715</v>
      </c>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933215</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0</v>
      </c>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0</v>
      </c>
      <c r="D67" s="1710">
        <f t="shared" ref="D67:K67" si="2">SUM(D65:D66)</f>
        <v>0</v>
      </c>
      <c r="E67" s="1710">
        <f t="shared" si="2"/>
        <v>0</v>
      </c>
      <c r="F67" s="1710">
        <f t="shared" si="2"/>
        <v>0</v>
      </c>
      <c r="G67" s="1710">
        <f t="shared" si="2"/>
        <v>0</v>
      </c>
      <c r="H67" s="1710">
        <f t="shared" si="2"/>
        <v>0</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v>8960</v>
      </c>
      <c r="D74" s="468"/>
      <c r="E74" s="468"/>
      <c r="F74" s="468"/>
      <c r="G74" s="468"/>
      <c r="H74" s="468"/>
      <c r="I74" s="468"/>
      <c r="J74" s="468"/>
      <c r="K74" s="468"/>
    </row>
    <row r="75" spans="1:11" ht="12.75" customHeight="1" thickBot="1" x14ac:dyDescent="0.25">
      <c r="A75" s="1730" t="s">
        <v>569</v>
      </c>
      <c r="B75" s="1731"/>
      <c r="C75" s="1710">
        <f>SUM(C69:C74)</f>
        <v>8960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22205</v>
      </c>
      <c r="D79" s="466"/>
      <c r="E79" s="468"/>
      <c r="F79" s="468"/>
      <c r="G79" s="468"/>
      <c r="H79" s="468"/>
      <c r="I79" s="468"/>
      <c r="J79" s="468"/>
      <c r="K79" s="468"/>
    </row>
    <row r="80" spans="1:11" ht="12.75" customHeight="1" x14ac:dyDescent="0.2">
      <c r="A80" s="463" t="s">
        <v>572</v>
      </c>
      <c r="B80" s="470">
        <v>1730</v>
      </c>
      <c r="C80" s="551">
        <v>28834</v>
      </c>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51039</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v>57984</v>
      </c>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57984</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v>61804</v>
      </c>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8518</v>
      </c>
      <c r="D107" s="466"/>
      <c r="E107" s="466"/>
      <c r="F107" s="466"/>
      <c r="G107" s="466"/>
      <c r="H107" s="466"/>
      <c r="I107" s="466"/>
      <c r="J107" s="467"/>
      <c r="K107" s="466"/>
    </row>
    <row r="108" spans="1:12" ht="12.75" customHeight="1" thickBot="1" x14ac:dyDescent="0.25">
      <c r="A108" s="1730" t="s">
        <v>508</v>
      </c>
      <c r="B108" s="1734"/>
      <c r="C108" s="1729">
        <f>SUM(C95:C107)</f>
        <v>70322</v>
      </c>
      <c r="D108" s="1729">
        <f t="shared" ref="D108:K108" si="3">SUM(D95:D107)</f>
        <v>0</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1121520</v>
      </c>
      <c r="D109" s="1737">
        <f t="shared" si="4"/>
        <v>0</v>
      </c>
      <c r="E109" s="1737">
        <f t="shared" si="4"/>
        <v>0</v>
      </c>
      <c r="F109" s="1737">
        <f t="shared" si="4"/>
        <v>0</v>
      </c>
      <c r="G109" s="1737">
        <f t="shared" si="4"/>
        <v>0</v>
      </c>
      <c r="H109" s="1737">
        <f t="shared" si="4"/>
        <v>0</v>
      </c>
      <c r="I109" s="1737">
        <f t="shared" si="4"/>
        <v>0</v>
      </c>
      <c r="J109" s="1737">
        <f t="shared" si="4"/>
        <v>0</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v>255000</v>
      </c>
      <c r="D111" s="481"/>
      <c r="E111" s="561"/>
      <c r="F111" s="481"/>
      <c r="G111" s="481"/>
      <c r="H111" s="561"/>
      <c r="I111" s="468"/>
      <c r="J111" s="468"/>
      <c r="K111" s="468"/>
    </row>
    <row r="112" spans="1:12" ht="12.75" customHeight="1" x14ac:dyDescent="0.2">
      <c r="A112" s="463" t="s">
        <v>878</v>
      </c>
      <c r="B112" s="470">
        <v>2200</v>
      </c>
      <c r="C112" s="551">
        <v>3236</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258236</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408910</v>
      </c>
      <c r="D117" s="481"/>
      <c r="E117" s="466"/>
      <c r="F117" s="481">
        <v>46198</v>
      </c>
      <c r="G117" s="481"/>
      <c r="H117" s="466"/>
      <c r="I117" s="468"/>
      <c r="J117" s="467"/>
      <c r="K117" s="466"/>
    </row>
    <row r="118" spans="1:11" ht="12.75" customHeight="1" x14ac:dyDescent="0.2">
      <c r="A118" s="463" t="s">
        <v>1901</v>
      </c>
      <c r="B118" s="562">
        <v>3002</v>
      </c>
      <c r="C118" s="551"/>
      <c r="D118" s="466"/>
      <c r="E118" s="466"/>
      <c r="F118" s="466"/>
      <c r="G118" s="466"/>
      <c r="H118" s="466"/>
      <c r="I118" s="468"/>
      <c r="J118" s="467"/>
      <c r="K118" s="466"/>
    </row>
    <row r="119" spans="1:11" ht="12.75" customHeight="1" x14ac:dyDescent="0.2">
      <c r="A119" s="463" t="s">
        <v>1902</v>
      </c>
      <c r="B119" s="562">
        <v>3005</v>
      </c>
      <c r="C119" s="551"/>
      <c r="D119" s="466"/>
      <c r="E119" s="466"/>
      <c r="F119" s="466"/>
      <c r="G119" s="466"/>
      <c r="H119" s="466"/>
      <c r="I119" s="468"/>
      <c r="J119" s="467"/>
      <c r="K119" s="466"/>
    </row>
    <row r="120" spans="1:11" x14ac:dyDescent="0.2">
      <c r="A120" s="1518" t="s">
        <v>1903</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408910</v>
      </c>
      <c r="D121" s="1729">
        <f t="shared" si="5"/>
        <v>0</v>
      </c>
      <c r="E121" s="1729">
        <f t="shared" si="5"/>
        <v>0</v>
      </c>
      <c r="F121" s="1729">
        <f t="shared" si="5"/>
        <v>46198</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0</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140810</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140810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561</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87062</v>
      </c>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87062</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v>0</v>
      </c>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141371</v>
      </c>
      <c r="D172" s="1744">
        <f t="shared" si="6"/>
        <v>0</v>
      </c>
      <c r="E172" s="1744">
        <f t="shared" si="6"/>
        <v>0</v>
      </c>
      <c r="F172" s="1744">
        <f t="shared" si="6"/>
        <v>87062</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550281</v>
      </c>
      <c r="D173" s="1737">
        <f>SUM(D121,D172)</f>
        <v>0</v>
      </c>
      <c r="E173" s="1737">
        <f>SUM(E121,E172)</f>
        <v>0</v>
      </c>
      <c r="F173" s="1737">
        <f t="shared" ref="F173:K173" si="7">SUM(F121,F172)</f>
        <v>133260</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1905</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29266</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16035</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45301</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0</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v>438114</v>
      </c>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v>1272541</v>
      </c>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1755956</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1755956</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3685993</v>
      </c>
      <c r="D275" s="1737">
        <f t="shared" si="12"/>
        <v>0</v>
      </c>
      <c r="E275" s="1737">
        <f t="shared" si="12"/>
        <v>0</v>
      </c>
      <c r="F275" s="1737">
        <f t="shared" si="12"/>
        <v>133260</v>
      </c>
      <c r="G275" s="1737">
        <f t="shared" si="12"/>
        <v>0</v>
      </c>
      <c r="H275" s="1737">
        <f t="shared" si="12"/>
        <v>0</v>
      </c>
      <c r="I275" s="1737">
        <f t="shared" si="12"/>
        <v>0</v>
      </c>
      <c r="J275" s="1737">
        <f t="shared" si="12"/>
        <v>0</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5" right="0.25" top="1" bottom="0.5" header="0.51" footer="0.25"/>
  <pageSetup scale="70" firstPageNumber="11" orientation="landscape" useFirstPageNumber="1" r:id="rId1"/>
  <headerFooter scaleWithDoc="0">
    <oddHeader>&amp;C&amp;"Arial,Bold"&amp;9STATEMENT OF REVENUES RECEIVED/REVENUES
FOR THE YEAR ENDING JUNE 30, 2018</oddHeader>
    <oddFooter>&amp;LSee notes to financial statements.&amp;C&amp;P</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57" activePane="bottomLeft" state="frozen"/>
      <selection activeCell="A7" sqref="A7:D7"/>
      <selection pane="bottomLeft" activeCell="F63" sqref="F6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1904</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2" t="s">
        <v>315</v>
      </c>
      <c r="B3" s="2183"/>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c r="D5" s="466"/>
      <c r="E5" s="466"/>
      <c r="F5" s="466"/>
      <c r="G5" s="466"/>
      <c r="H5" s="466"/>
      <c r="I5" s="467"/>
      <c r="J5" s="467"/>
      <c r="K5" s="1693">
        <f>SUM(C5:J5)</f>
        <v>0</v>
      </c>
      <c r="L5" s="466"/>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c r="D8" s="466"/>
      <c r="E8" s="466"/>
      <c r="F8" s="466"/>
      <c r="G8" s="466"/>
      <c r="H8" s="466"/>
      <c r="I8" s="467"/>
      <c r="J8" s="467"/>
      <c r="K8" s="1693">
        <f t="shared" si="0"/>
        <v>0</v>
      </c>
      <c r="L8" s="466"/>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c r="D10" s="466"/>
      <c r="E10" s="466"/>
      <c r="F10" s="466"/>
      <c r="G10" s="466"/>
      <c r="H10" s="466"/>
      <c r="I10" s="467"/>
      <c r="J10" s="467"/>
      <c r="K10" s="1693">
        <f t="shared" si="0"/>
        <v>0</v>
      </c>
      <c r="L10" s="466"/>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v>419735</v>
      </c>
      <c r="D12" s="466">
        <v>105645</v>
      </c>
      <c r="E12" s="466">
        <v>45349</v>
      </c>
      <c r="F12" s="466">
        <v>157466</v>
      </c>
      <c r="G12" s="466"/>
      <c r="H12" s="466"/>
      <c r="I12" s="467"/>
      <c r="J12" s="467"/>
      <c r="K12" s="1693">
        <f t="shared" si="0"/>
        <v>728195</v>
      </c>
      <c r="L12" s="466">
        <v>672084</v>
      </c>
    </row>
    <row r="13" spans="1:14" x14ac:dyDescent="0.2">
      <c r="A13" s="1526" t="s">
        <v>747</v>
      </c>
      <c r="B13" s="615">
        <v>1400</v>
      </c>
      <c r="C13" s="466">
        <v>421134</v>
      </c>
      <c r="D13" s="466">
        <v>150306</v>
      </c>
      <c r="E13" s="466">
        <v>51818</v>
      </c>
      <c r="F13" s="466">
        <v>25441</v>
      </c>
      <c r="G13" s="466">
        <v>192</v>
      </c>
      <c r="H13" s="466">
        <v>5633</v>
      </c>
      <c r="I13" s="467"/>
      <c r="J13" s="467"/>
      <c r="K13" s="1693">
        <f t="shared" si="0"/>
        <v>654524</v>
      </c>
      <c r="L13" s="466">
        <v>601291</v>
      </c>
    </row>
    <row r="14" spans="1:14" x14ac:dyDescent="0.2">
      <c r="A14" s="1526" t="s">
        <v>1020</v>
      </c>
      <c r="B14" s="615">
        <v>1500</v>
      </c>
      <c r="C14" s="466"/>
      <c r="D14" s="466"/>
      <c r="E14" s="466"/>
      <c r="F14" s="466"/>
      <c r="G14" s="466"/>
      <c r="H14" s="466"/>
      <c r="I14" s="467"/>
      <c r="J14" s="467"/>
      <c r="K14" s="1693">
        <f t="shared" si="0"/>
        <v>0</v>
      </c>
      <c r="L14" s="466"/>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840869</v>
      </c>
      <c r="D33" s="1692">
        <f t="shared" ref="D33:L33" si="1">SUM(D5:D32)</f>
        <v>255951</v>
      </c>
      <c r="E33" s="1692">
        <f t="shared" si="1"/>
        <v>97167</v>
      </c>
      <c r="F33" s="1692">
        <f t="shared" si="1"/>
        <v>182907</v>
      </c>
      <c r="G33" s="1692">
        <f t="shared" si="1"/>
        <v>192</v>
      </c>
      <c r="H33" s="1692">
        <f t="shared" si="1"/>
        <v>5633</v>
      </c>
      <c r="I33" s="1692">
        <f t="shared" si="1"/>
        <v>0</v>
      </c>
      <c r="J33" s="1692">
        <f t="shared" si="1"/>
        <v>0</v>
      </c>
      <c r="K33" s="1692">
        <f t="shared" si="1"/>
        <v>1382719</v>
      </c>
      <c r="L33" s="1692">
        <f t="shared" si="1"/>
        <v>1273375</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v>80904</v>
      </c>
      <c r="D37" s="466">
        <v>27084</v>
      </c>
      <c r="E37" s="466">
        <v>1083</v>
      </c>
      <c r="F37" s="466"/>
      <c r="G37" s="466"/>
      <c r="H37" s="466"/>
      <c r="I37" s="467"/>
      <c r="J37" s="467"/>
      <c r="K37" s="1693">
        <f t="shared" si="2"/>
        <v>109071</v>
      </c>
      <c r="L37" s="466">
        <v>108009</v>
      </c>
    </row>
    <row r="38" spans="1:14" x14ac:dyDescent="0.2">
      <c r="A38" s="1526" t="s">
        <v>207</v>
      </c>
      <c r="B38" s="615">
        <v>2130</v>
      </c>
      <c r="C38" s="466"/>
      <c r="D38" s="466"/>
      <c r="E38" s="466"/>
      <c r="F38" s="466"/>
      <c r="G38" s="466"/>
      <c r="H38" s="466"/>
      <c r="I38" s="467"/>
      <c r="J38" s="467"/>
      <c r="K38" s="1693">
        <f t="shared" si="2"/>
        <v>0</v>
      </c>
      <c r="L38" s="466"/>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80904</v>
      </c>
      <c r="D42" s="1692">
        <f t="shared" ref="D42:L42" si="3">SUM(D36:D41)</f>
        <v>27084</v>
      </c>
      <c r="E42" s="1692">
        <f t="shared" si="3"/>
        <v>1083</v>
      </c>
      <c r="F42" s="1692">
        <f t="shared" si="3"/>
        <v>0</v>
      </c>
      <c r="G42" s="1692">
        <f t="shared" si="3"/>
        <v>0</v>
      </c>
      <c r="H42" s="1692">
        <f t="shared" si="3"/>
        <v>0</v>
      </c>
      <c r="I42" s="1692">
        <f t="shared" si="3"/>
        <v>0</v>
      </c>
      <c r="J42" s="1692">
        <f t="shared" si="3"/>
        <v>0</v>
      </c>
      <c r="K42" s="1692">
        <f t="shared" si="3"/>
        <v>109071</v>
      </c>
      <c r="L42" s="1692">
        <f t="shared" si="3"/>
        <v>108009</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c r="F44" s="481"/>
      <c r="G44" s="481"/>
      <c r="H44" s="481"/>
      <c r="I44" s="467"/>
      <c r="J44" s="467"/>
      <c r="K44" s="1694">
        <f>SUM(C44:J44)</f>
        <v>0</v>
      </c>
      <c r="L44" s="481"/>
    </row>
    <row r="45" spans="1:14" x14ac:dyDescent="0.2">
      <c r="A45" s="1526" t="s">
        <v>869</v>
      </c>
      <c r="B45" s="615">
        <v>2220</v>
      </c>
      <c r="C45" s="466"/>
      <c r="D45" s="466"/>
      <c r="E45" s="466"/>
      <c r="F45" s="466"/>
      <c r="G45" s="466"/>
      <c r="H45" s="466"/>
      <c r="I45" s="467"/>
      <c r="J45" s="467"/>
      <c r="K45" s="1694">
        <f>SUM(C45:J45)</f>
        <v>0</v>
      </c>
      <c r="L45" s="466"/>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0</v>
      </c>
      <c r="D47" s="1692">
        <f t="shared" ref="D47:K47" si="4">SUM(D44:D46)</f>
        <v>0</v>
      </c>
      <c r="E47" s="1692">
        <f t="shared" si="4"/>
        <v>0</v>
      </c>
      <c r="F47" s="1692">
        <f t="shared" si="4"/>
        <v>0</v>
      </c>
      <c r="G47" s="1692">
        <f t="shared" si="4"/>
        <v>0</v>
      </c>
      <c r="H47" s="1692">
        <f t="shared" si="4"/>
        <v>0</v>
      </c>
      <c r="I47" s="1692">
        <f t="shared" si="4"/>
        <v>0</v>
      </c>
      <c r="J47" s="1692">
        <f t="shared" si="4"/>
        <v>0</v>
      </c>
      <c r="K47" s="1692">
        <f t="shared" si="4"/>
        <v>0</v>
      </c>
      <c r="L47" s="1692">
        <f>SUM(L44:L46)</f>
        <v>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55758</v>
      </c>
      <c r="F49" s="481">
        <v>3489</v>
      </c>
      <c r="G49" s="481"/>
      <c r="H49" s="481">
        <v>8712</v>
      </c>
      <c r="I49" s="467"/>
      <c r="J49" s="467"/>
      <c r="K49" s="1694">
        <f>SUM(C49:J49)</f>
        <v>67959</v>
      </c>
      <c r="L49" s="481">
        <v>73775</v>
      </c>
    </row>
    <row r="50" spans="1:14" x14ac:dyDescent="0.2">
      <c r="A50" s="1526" t="s">
        <v>872</v>
      </c>
      <c r="B50" s="615">
        <v>2320</v>
      </c>
      <c r="C50" s="466"/>
      <c r="D50" s="466"/>
      <c r="E50" s="466"/>
      <c r="F50" s="466"/>
      <c r="G50" s="466"/>
      <c r="H50" s="466"/>
      <c r="I50" s="467"/>
      <c r="J50" s="467"/>
      <c r="K50" s="1694">
        <f>SUM(C50:J50)</f>
        <v>0</v>
      </c>
      <c r="L50" s="466"/>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0</v>
      </c>
      <c r="D53" s="1692">
        <f t="shared" ref="D53:L53" si="5">SUM(D49:D52)</f>
        <v>0</v>
      </c>
      <c r="E53" s="1692">
        <f t="shared" si="5"/>
        <v>55758</v>
      </c>
      <c r="F53" s="1692">
        <f t="shared" si="5"/>
        <v>3489</v>
      </c>
      <c r="G53" s="1692">
        <f t="shared" si="5"/>
        <v>0</v>
      </c>
      <c r="H53" s="1692">
        <f t="shared" si="5"/>
        <v>8712</v>
      </c>
      <c r="I53" s="1692">
        <f t="shared" si="5"/>
        <v>0</v>
      </c>
      <c r="J53" s="1692">
        <f t="shared" si="5"/>
        <v>0</v>
      </c>
      <c r="K53" s="1692">
        <f t="shared" si="5"/>
        <v>67959</v>
      </c>
      <c r="L53" s="1692">
        <f t="shared" si="5"/>
        <v>73775</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150653</v>
      </c>
      <c r="D55" s="481">
        <v>56108</v>
      </c>
      <c r="E55" s="481">
        <v>3492</v>
      </c>
      <c r="F55" s="481">
        <v>75</v>
      </c>
      <c r="G55" s="481"/>
      <c r="H55" s="481">
        <v>1648</v>
      </c>
      <c r="I55" s="467"/>
      <c r="J55" s="467"/>
      <c r="K55" s="1694">
        <f>SUM(C55:J55)</f>
        <v>211976</v>
      </c>
      <c r="L55" s="481">
        <v>213774</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150653</v>
      </c>
      <c r="D57" s="1696">
        <f t="shared" ref="D57:K57" si="6">SUM(D55:D56)</f>
        <v>56108</v>
      </c>
      <c r="E57" s="1696">
        <f t="shared" si="6"/>
        <v>3492</v>
      </c>
      <c r="F57" s="1696">
        <f t="shared" si="6"/>
        <v>75</v>
      </c>
      <c r="G57" s="1696">
        <f t="shared" si="6"/>
        <v>0</v>
      </c>
      <c r="H57" s="1696">
        <f t="shared" si="6"/>
        <v>1648</v>
      </c>
      <c r="I57" s="1696">
        <f t="shared" si="6"/>
        <v>0</v>
      </c>
      <c r="J57" s="1696">
        <f t="shared" si="6"/>
        <v>0</v>
      </c>
      <c r="K57" s="1696">
        <f t="shared" si="6"/>
        <v>211976</v>
      </c>
      <c r="L57" s="1692">
        <f>SUM(L55:L56)</f>
        <v>213774</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58875</v>
      </c>
      <c r="D60" s="466">
        <v>33475</v>
      </c>
      <c r="E60" s="466"/>
      <c r="F60" s="466">
        <v>1403</v>
      </c>
      <c r="G60" s="466"/>
      <c r="H60" s="466"/>
      <c r="I60" s="467"/>
      <c r="J60" s="467"/>
      <c r="K60" s="1694">
        <f t="shared" si="7"/>
        <v>93753</v>
      </c>
      <c r="L60" s="466">
        <v>87899</v>
      </c>
      <c r="M60" s="610"/>
      <c r="N60" s="610"/>
    </row>
    <row r="61" spans="1:14" s="343" customFormat="1" x14ac:dyDescent="0.2">
      <c r="A61" s="1526" t="s">
        <v>206</v>
      </c>
      <c r="B61" s="615">
        <v>2540</v>
      </c>
      <c r="C61" s="466">
        <v>82286</v>
      </c>
      <c r="D61" s="466">
        <v>39500</v>
      </c>
      <c r="E61" s="466">
        <v>40803</v>
      </c>
      <c r="F61" s="466">
        <v>84483</v>
      </c>
      <c r="G61" s="466">
        <v>16209</v>
      </c>
      <c r="H61" s="466"/>
      <c r="I61" s="467"/>
      <c r="J61" s="467"/>
      <c r="K61" s="1694">
        <f t="shared" si="7"/>
        <v>263281</v>
      </c>
      <c r="L61" s="466">
        <v>204376</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28580</v>
      </c>
      <c r="D63" s="466">
        <v>3812</v>
      </c>
      <c r="E63" s="466"/>
      <c r="F63" s="466">
        <v>35775</v>
      </c>
      <c r="G63" s="466"/>
      <c r="H63" s="466"/>
      <c r="I63" s="467"/>
      <c r="J63" s="467"/>
      <c r="K63" s="1694">
        <f t="shared" si="7"/>
        <v>68167</v>
      </c>
      <c r="L63" s="466">
        <v>62700</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169741</v>
      </c>
      <c r="D65" s="1692">
        <f t="shared" ref="D65:L65" si="8">SUM(D59:D64)</f>
        <v>76787</v>
      </c>
      <c r="E65" s="1692">
        <f t="shared" si="8"/>
        <v>40803</v>
      </c>
      <c r="F65" s="1692">
        <f t="shared" si="8"/>
        <v>121661</v>
      </c>
      <c r="G65" s="1692">
        <f t="shared" si="8"/>
        <v>16209</v>
      </c>
      <c r="H65" s="1692">
        <f t="shared" si="8"/>
        <v>0</v>
      </c>
      <c r="I65" s="1692">
        <f t="shared" si="8"/>
        <v>0</v>
      </c>
      <c r="J65" s="1692">
        <f t="shared" si="8"/>
        <v>0</v>
      </c>
      <c r="K65" s="1692">
        <f t="shared" si="8"/>
        <v>425201</v>
      </c>
      <c r="L65" s="1692">
        <f t="shared" si="8"/>
        <v>354975</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v>4827</v>
      </c>
      <c r="D70" s="466">
        <v>369</v>
      </c>
      <c r="E70" s="466"/>
      <c r="F70" s="466"/>
      <c r="G70" s="466"/>
      <c r="H70" s="466"/>
      <c r="I70" s="467"/>
      <c r="J70" s="467"/>
      <c r="K70" s="1694">
        <f>SUM(C70:J70)</f>
        <v>5196</v>
      </c>
      <c r="L70" s="466">
        <v>5275</v>
      </c>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4827</v>
      </c>
      <c r="D72" s="1692">
        <f t="shared" ref="D72:K72" si="9">SUM(D67:D71)</f>
        <v>369</v>
      </c>
      <c r="E72" s="1692">
        <f t="shared" si="9"/>
        <v>0</v>
      </c>
      <c r="F72" s="1692">
        <f t="shared" si="9"/>
        <v>0</v>
      </c>
      <c r="G72" s="1692">
        <f t="shared" si="9"/>
        <v>0</v>
      </c>
      <c r="H72" s="1692">
        <f t="shared" si="9"/>
        <v>0</v>
      </c>
      <c r="I72" s="1692">
        <f t="shared" si="9"/>
        <v>0</v>
      </c>
      <c r="J72" s="1692">
        <f t="shared" si="9"/>
        <v>0</v>
      </c>
      <c r="K72" s="1692">
        <f t="shared" si="9"/>
        <v>5196</v>
      </c>
      <c r="L72" s="1692">
        <f>SUM(L67:L71)</f>
        <v>5275</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406125</v>
      </c>
      <c r="D74" s="1699">
        <f t="shared" ref="D74:K74" si="10">SUM(D42,D47,D53,D57,D65,D72,D73)</f>
        <v>160348</v>
      </c>
      <c r="E74" s="1699">
        <f t="shared" si="10"/>
        <v>101136</v>
      </c>
      <c r="F74" s="1699">
        <f t="shared" si="10"/>
        <v>125225</v>
      </c>
      <c r="G74" s="1699">
        <f t="shared" si="10"/>
        <v>16209</v>
      </c>
      <c r="H74" s="1699">
        <f t="shared" si="10"/>
        <v>10360</v>
      </c>
      <c r="I74" s="1699">
        <f t="shared" si="10"/>
        <v>0</v>
      </c>
      <c r="J74" s="1699">
        <f t="shared" si="10"/>
        <v>0</v>
      </c>
      <c r="K74" s="1699">
        <f t="shared" si="10"/>
        <v>819403</v>
      </c>
      <c r="L74" s="1699">
        <f>SUM(L42,L47,L53,L57,L65,L72,L73)</f>
        <v>755808</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c r="I79" s="477"/>
      <c r="J79" s="477"/>
      <c r="K79" s="1693">
        <f t="shared" si="11"/>
        <v>0</v>
      </c>
      <c r="L79" s="466"/>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0</v>
      </c>
      <c r="F84" s="617"/>
      <c r="G84" s="617"/>
      <c r="H84" s="1692">
        <f>SUM(H78:H83)</f>
        <v>0</v>
      </c>
      <c r="I84" s="477"/>
      <c r="J84" s="477"/>
      <c r="K84" s="1692">
        <f>SUM(K78:K83)</f>
        <v>0</v>
      </c>
      <c r="L84" s="1692">
        <f>SUM(L78:L83)</f>
        <v>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0</v>
      </c>
      <c r="I102" s="477"/>
      <c r="J102" s="477"/>
      <c r="K102" s="1699">
        <f>SUM(K84,K92,K100,K101)</f>
        <v>0</v>
      </c>
      <c r="L102" s="1699">
        <f>SUM(L84,L92,L100,L101)</f>
        <v>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v>383</v>
      </c>
      <c r="I109" s="468"/>
      <c r="J109" s="468"/>
      <c r="K109" s="1693">
        <f>H109</f>
        <v>383</v>
      </c>
      <c r="L109" s="466">
        <v>2500</v>
      </c>
      <c r="M109" s="210"/>
      <c r="N109" s="210"/>
    </row>
    <row r="110" spans="1:14" s="598" customFormat="1" ht="12.75" customHeight="1" thickBot="1" x14ac:dyDescent="0.25">
      <c r="A110" s="1690" t="s">
        <v>1164</v>
      </c>
      <c r="B110" s="1697" t="s">
        <v>742</v>
      </c>
      <c r="C110" s="617"/>
      <c r="D110" s="617"/>
      <c r="E110" s="617"/>
      <c r="F110" s="617"/>
      <c r="G110" s="617"/>
      <c r="H110" s="1692">
        <f>SUM(H105:H109)</f>
        <v>383</v>
      </c>
      <c r="I110" s="468"/>
      <c r="J110" s="468"/>
      <c r="K110" s="1692">
        <f>SUM(K105:K109)</f>
        <v>383</v>
      </c>
      <c r="L110" s="1692">
        <f>SUM(L105:L109)</f>
        <v>2500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383</v>
      </c>
      <c r="I112" s="468"/>
      <c r="J112" s="468"/>
      <c r="K112" s="1692">
        <f>SUM(K110:K111)</f>
        <v>383</v>
      </c>
      <c r="L112" s="1699">
        <f>SUM(L110,L111)</f>
        <v>2500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1246994</v>
      </c>
      <c r="D114" s="1692">
        <f t="shared" ref="D114:K114" si="13">SUM(D33,D74,D75,D102,D112,D113)</f>
        <v>416299</v>
      </c>
      <c r="E114" s="1692">
        <f t="shared" si="13"/>
        <v>198303</v>
      </c>
      <c r="F114" s="1692">
        <f t="shared" si="13"/>
        <v>308132</v>
      </c>
      <c r="G114" s="1692">
        <f t="shared" si="13"/>
        <v>16401</v>
      </c>
      <c r="H114" s="1692">
        <f>SUM(H33,H74,H75,H102,H112,H113)</f>
        <v>16376</v>
      </c>
      <c r="I114" s="1692">
        <f t="shared" si="13"/>
        <v>0</v>
      </c>
      <c r="J114" s="1692">
        <f t="shared" si="13"/>
        <v>0</v>
      </c>
      <c r="K114" s="1692">
        <f t="shared" si="13"/>
        <v>2202505</v>
      </c>
      <c r="L114" s="1692">
        <f>SUM(L33,L74,L75,L102,L112,L113)</f>
        <v>2031683</v>
      </c>
    </row>
    <row r="115" spans="1:14" ht="13.5" thickTop="1" x14ac:dyDescent="0.2">
      <c r="A115" s="2174" t="s">
        <v>1053</v>
      </c>
      <c r="B115" s="2175"/>
      <c r="C115" s="619"/>
      <c r="D115" s="619"/>
      <c r="E115" s="619"/>
      <c r="F115" s="619"/>
      <c r="G115" s="619"/>
      <c r="H115" s="619"/>
      <c r="I115" s="619"/>
      <c r="J115" s="619"/>
      <c r="K115" s="1706">
        <f>'Revenues 9-14'!C275-'Expenditures 15-22'!K114</f>
        <v>1483488</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9" t="s">
        <v>314</v>
      </c>
      <c r="B117" s="2180"/>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c r="D124" s="466"/>
      <c r="E124" s="466"/>
      <c r="F124" s="466"/>
      <c r="G124" s="466"/>
      <c r="H124" s="466"/>
      <c r="I124" s="467"/>
      <c r="J124" s="467"/>
      <c r="K124" s="1692">
        <f>SUM(C124:J124)</f>
        <v>0</v>
      </c>
      <c r="L124" s="466"/>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0</v>
      </c>
      <c r="D127" s="1692">
        <f t="shared" ref="D127:L127" si="14">SUM(D122:D126)</f>
        <v>0</v>
      </c>
      <c r="E127" s="1692">
        <f t="shared" si="14"/>
        <v>0</v>
      </c>
      <c r="F127" s="1692">
        <f t="shared" si="14"/>
        <v>0</v>
      </c>
      <c r="G127" s="1692">
        <f t="shared" si="14"/>
        <v>0</v>
      </c>
      <c r="H127" s="1692">
        <f t="shared" si="14"/>
        <v>0</v>
      </c>
      <c r="I127" s="1692">
        <f t="shared" si="14"/>
        <v>0</v>
      </c>
      <c r="J127" s="1692">
        <f t="shared" si="14"/>
        <v>0</v>
      </c>
      <c r="K127" s="1692">
        <f t="shared" si="14"/>
        <v>0</v>
      </c>
      <c r="L127" s="1692">
        <f t="shared" si="14"/>
        <v>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0</v>
      </c>
      <c r="D129" s="1699">
        <f t="shared" ref="D129:L129" si="15">SUM(D120,D127,D128)</f>
        <v>0</v>
      </c>
      <c r="E129" s="1699">
        <f t="shared" si="15"/>
        <v>0</v>
      </c>
      <c r="F129" s="1699">
        <f t="shared" si="15"/>
        <v>0</v>
      </c>
      <c r="G129" s="1699">
        <f t="shared" si="15"/>
        <v>0</v>
      </c>
      <c r="H129" s="1699">
        <f t="shared" si="15"/>
        <v>0</v>
      </c>
      <c r="I129" s="1699">
        <f t="shared" si="15"/>
        <v>0</v>
      </c>
      <c r="J129" s="1699">
        <f t="shared" si="15"/>
        <v>0</v>
      </c>
      <c r="K129" s="1699">
        <f t="shared" si="15"/>
        <v>0</v>
      </c>
      <c r="L129" s="1699">
        <f t="shared" si="15"/>
        <v>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1956</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1" t="s">
        <v>641</v>
      </c>
      <c r="B151" s="2171"/>
      <c r="C151" s="1692">
        <f>SUM(C129,C130,C139,C149,C150)</f>
        <v>0</v>
      </c>
      <c r="D151" s="1692">
        <f t="shared" ref="D151:K151" si="16">SUM(D129,D130,D139,D149,D150)</f>
        <v>0</v>
      </c>
      <c r="E151" s="1692">
        <f t="shared" si="16"/>
        <v>0</v>
      </c>
      <c r="F151" s="1692">
        <f t="shared" si="16"/>
        <v>0</v>
      </c>
      <c r="G151" s="1692">
        <f t="shared" si="16"/>
        <v>0</v>
      </c>
      <c r="H151" s="1692">
        <f t="shared" si="16"/>
        <v>0</v>
      </c>
      <c r="I151" s="1692">
        <f t="shared" si="16"/>
        <v>0</v>
      </c>
      <c r="J151" s="1692">
        <f t="shared" si="16"/>
        <v>0</v>
      </c>
      <c r="K151" s="1692">
        <f t="shared" si="16"/>
        <v>0</v>
      </c>
      <c r="L151" s="1692">
        <f>SUM(L129,L130,L139,L149,L150)</f>
        <v>0</v>
      </c>
    </row>
    <row r="152" spans="1:14" ht="12.75" customHeight="1" thickTop="1" x14ac:dyDescent="0.2">
      <c r="A152" s="2194" t="s">
        <v>1240</v>
      </c>
      <c r="B152" s="2195"/>
      <c r="C152" s="619"/>
      <c r="D152" s="619"/>
      <c r="E152" s="619"/>
      <c r="F152" s="619"/>
      <c r="G152" s="619"/>
      <c r="H152" s="619"/>
      <c r="I152" s="619"/>
      <c r="J152" s="617"/>
      <c r="K152" s="1706">
        <f>'Revenues 9-14'!D275-'Expenditures 15-22'!K151</f>
        <v>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9" t="s">
        <v>642</v>
      </c>
      <c r="B154" s="2181"/>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c r="I169" s="617"/>
      <c r="J169" s="617"/>
      <c r="K169" s="1693">
        <f>SUM(C169:H169)</f>
        <v>0</v>
      </c>
      <c r="L169" s="657"/>
    </row>
    <row r="170" spans="1:14" ht="33.75" customHeight="1" x14ac:dyDescent="0.2">
      <c r="A170" s="670" t="s">
        <v>1769</v>
      </c>
      <c r="B170" s="672" t="s">
        <v>31</v>
      </c>
      <c r="C170" s="617"/>
      <c r="D170" s="617"/>
      <c r="E170" s="617"/>
      <c r="F170" s="617"/>
      <c r="G170" s="617"/>
      <c r="H170" s="569"/>
      <c r="I170" s="617"/>
      <c r="J170" s="617"/>
      <c r="K170" s="1693">
        <f>SUM(C170:J170)</f>
        <v>0</v>
      </c>
      <c r="L170" s="569"/>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0</v>
      </c>
      <c r="I172" s="639"/>
      <c r="J172" s="617"/>
      <c r="K172" s="1699">
        <f>SUM(K168,K169,K170,K171)</f>
        <v>0</v>
      </c>
      <c r="L172" s="1699">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0</v>
      </c>
      <c r="I174" s="639"/>
      <c r="J174" s="617"/>
      <c r="K174" s="1699">
        <f>SUM(K160,K172,K173)</f>
        <v>0</v>
      </c>
      <c r="L174" s="1699">
        <f>SUM(L160,L172,L173)</f>
        <v>0</v>
      </c>
    </row>
    <row r="175" spans="1:14" ht="13.5" thickTop="1" x14ac:dyDescent="0.2">
      <c r="A175" s="2174" t="s">
        <v>1053</v>
      </c>
      <c r="B175" s="2175"/>
      <c r="C175" s="617"/>
      <c r="D175" s="617"/>
      <c r="E175" s="617"/>
      <c r="F175" s="617"/>
      <c r="G175" s="617"/>
      <c r="H175" s="619"/>
      <c r="I175" s="617"/>
      <c r="J175" s="617"/>
      <c r="K175" s="1706">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4021</v>
      </c>
      <c r="D182" s="466">
        <v>1616</v>
      </c>
      <c r="E182" s="466">
        <v>142848</v>
      </c>
      <c r="F182" s="466"/>
      <c r="G182" s="466"/>
      <c r="H182" s="466"/>
      <c r="I182" s="467"/>
      <c r="J182" s="467"/>
      <c r="K182" s="1693">
        <f>SUM(C182:J182)</f>
        <v>148485</v>
      </c>
      <c r="L182" s="466">
        <v>136790</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4021</v>
      </c>
      <c r="D184" s="1699">
        <f t="shared" ref="D184:J184" si="17">SUM(D180,D182,D183)</f>
        <v>1616</v>
      </c>
      <c r="E184" s="1699">
        <f t="shared" si="17"/>
        <v>142848</v>
      </c>
      <c r="F184" s="1699">
        <f t="shared" si="17"/>
        <v>0</v>
      </c>
      <c r="G184" s="1699">
        <f t="shared" si="17"/>
        <v>0</v>
      </c>
      <c r="H184" s="1699">
        <f t="shared" si="17"/>
        <v>0</v>
      </c>
      <c r="I184" s="1699">
        <f t="shared" si="17"/>
        <v>0</v>
      </c>
      <c r="J184" s="1699">
        <f t="shared" si="17"/>
        <v>0</v>
      </c>
      <c r="K184" s="1699">
        <f>SUM(K180,K182,K183)</f>
        <v>148485</v>
      </c>
      <c r="L184" s="1699">
        <f>SUM(L180, L182:L183)</f>
        <v>136790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4021</v>
      </c>
      <c r="D210" s="1692">
        <f>SUM(D184,D185)</f>
        <v>1616</v>
      </c>
      <c r="E210" s="1692">
        <f>SUM(E184,E185,E196)</f>
        <v>142848</v>
      </c>
      <c r="F210" s="1692">
        <f>SUM(F184,F185)</f>
        <v>0</v>
      </c>
      <c r="G210" s="1692">
        <f>SUM(G184,G185)</f>
        <v>0</v>
      </c>
      <c r="H210" s="1692">
        <f>SUM(H184,H185,H196,H208,H209)</f>
        <v>0</v>
      </c>
      <c r="I210" s="1692">
        <f>SUM(I184,I185)</f>
        <v>0</v>
      </c>
      <c r="J210" s="1692">
        <f>SUM(J184,J185)</f>
        <v>0</v>
      </c>
      <c r="K210" s="1693">
        <f>SUM(K184,K185,K196,K208,K209)</f>
        <v>148485</v>
      </c>
      <c r="L210" s="1692">
        <f>SUM(L184,L185,L196,L208,L209)</f>
        <v>136790</v>
      </c>
    </row>
    <row r="211" spans="1:14" ht="13.5" thickTop="1" x14ac:dyDescent="0.2">
      <c r="A211" s="2174" t="s">
        <v>1053</v>
      </c>
      <c r="B211" s="2175"/>
      <c r="C211" s="619"/>
      <c r="D211" s="619"/>
      <c r="E211" s="619"/>
      <c r="F211" s="619"/>
      <c r="G211" s="619"/>
      <c r="H211" s="619"/>
      <c r="I211" s="617"/>
      <c r="J211" s="617"/>
      <c r="K211" s="1706">
        <f>'Revenues 9-14'!F275-'Expenditures 15-22'!K210</f>
        <v>-15225</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6" t="s">
        <v>1022</v>
      </c>
      <c r="B213" s="2197"/>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c r="E215" s="617"/>
      <c r="F215" s="617"/>
      <c r="G215" s="617"/>
      <c r="H215" s="617"/>
      <c r="I215" s="617"/>
      <c r="J215" s="617"/>
      <c r="K215" s="1693">
        <f>D215</f>
        <v>0</v>
      </c>
      <c r="L215" s="466"/>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c r="E217" s="617"/>
      <c r="F217" s="617"/>
      <c r="G217" s="617"/>
      <c r="H217" s="617"/>
      <c r="I217" s="617"/>
      <c r="J217" s="617"/>
      <c r="K217" s="1693">
        <f t="shared" si="19"/>
        <v>0</v>
      </c>
      <c r="L217" s="466"/>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c r="E223" s="617"/>
      <c r="F223" s="617"/>
      <c r="G223" s="617"/>
      <c r="H223" s="617"/>
      <c r="I223" s="617"/>
      <c r="J223" s="617"/>
      <c r="K223" s="1693">
        <f t="shared" si="19"/>
        <v>0</v>
      </c>
      <c r="L223" s="466"/>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0</v>
      </c>
      <c r="E229" s="617"/>
      <c r="F229" s="617"/>
      <c r="G229" s="617"/>
      <c r="H229" s="617"/>
      <c r="I229" s="617"/>
      <c r="J229" s="617"/>
      <c r="K229" s="1692">
        <f>SUM(K215:K228)</f>
        <v>0</v>
      </c>
      <c r="L229" s="1692">
        <f>SUM(L215:L228)</f>
        <v>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0</v>
      </c>
      <c r="E238" s="617"/>
      <c r="F238" s="617"/>
      <c r="G238" s="617"/>
      <c r="H238" s="617"/>
      <c r="I238" s="617"/>
      <c r="J238" s="617"/>
      <c r="K238" s="1692">
        <f>SUM(K232:K237)</f>
        <v>0</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c r="E246" s="617"/>
      <c r="F246" s="617"/>
      <c r="G246" s="617"/>
      <c r="H246" s="617"/>
      <c r="I246" s="617"/>
      <c r="J246" s="617"/>
      <c r="K246" s="1694">
        <f t="shared" ref="K246:K256" si="21">D246</f>
        <v>0</v>
      </c>
      <c r="L246" s="466"/>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1907</v>
      </c>
      <c r="B249" s="684" t="s">
        <v>300</v>
      </c>
      <c r="C249" s="617"/>
      <c r="D249" s="474"/>
      <c r="E249" s="617"/>
      <c r="F249" s="617"/>
      <c r="G249" s="617"/>
      <c r="H249" s="617"/>
      <c r="I249" s="617"/>
      <c r="J249" s="617"/>
      <c r="K249" s="1694">
        <f t="shared" si="21"/>
        <v>0</v>
      </c>
      <c r="L249" s="466"/>
    </row>
    <row r="250" spans="1:12" x14ac:dyDescent="0.2">
      <c r="A250" s="1527" t="s">
        <v>1908</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0</v>
      </c>
      <c r="E257" s="617"/>
      <c r="F257" s="617"/>
      <c r="G257" s="617"/>
      <c r="H257" s="617"/>
      <c r="I257" s="617"/>
      <c r="J257" s="617"/>
      <c r="K257" s="1692">
        <f>SUM(K245:K256)</f>
        <v>0</v>
      </c>
      <c r="L257" s="1692">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c r="E259" s="617"/>
      <c r="F259" s="617"/>
      <c r="G259" s="617"/>
      <c r="H259" s="617"/>
      <c r="I259" s="617"/>
      <c r="J259" s="617"/>
      <c r="K259" s="1694">
        <f>D259</f>
        <v>0</v>
      </c>
      <c r="L259" s="481"/>
    </row>
    <row r="260" spans="1:14" s="598" customFormat="1" x14ac:dyDescent="0.2">
      <c r="A260" s="1544" t="s">
        <v>1906</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0</v>
      </c>
      <c r="E261" s="617"/>
      <c r="F261" s="617"/>
      <c r="G261" s="617"/>
      <c r="H261" s="617"/>
      <c r="I261" s="617"/>
      <c r="J261" s="617"/>
      <c r="K261" s="1692">
        <f>SUM(K259:K260)</f>
        <v>0</v>
      </c>
      <c r="L261" s="1692">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c r="E264" s="617"/>
      <c r="F264" s="617"/>
      <c r="G264" s="617"/>
      <c r="H264" s="617"/>
      <c r="I264" s="617"/>
      <c r="J264" s="617"/>
      <c r="K264" s="1694">
        <f t="shared" ref="K264:K269" si="22">D264</f>
        <v>0</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c r="E266" s="617"/>
      <c r="F266" s="617"/>
      <c r="G266" s="617"/>
      <c r="H266" s="617"/>
      <c r="I266" s="617"/>
      <c r="J266" s="617"/>
      <c r="K266" s="1694">
        <f t="shared" si="22"/>
        <v>0</v>
      </c>
      <c r="L266" s="466"/>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c r="E268" s="617"/>
      <c r="F268" s="617"/>
      <c r="G268" s="617"/>
      <c r="H268" s="617"/>
      <c r="I268" s="617"/>
      <c r="J268" s="617"/>
      <c r="K268" s="1694">
        <f t="shared" si="22"/>
        <v>0</v>
      </c>
      <c r="L268" s="466"/>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0</v>
      </c>
      <c r="E270" s="617"/>
      <c r="F270" s="617"/>
      <c r="G270" s="617"/>
      <c r="H270" s="617"/>
      <c r="I270" s="617"/>
      <c r="J270" s="617"/>
      <c r="K270" s="1692">
        <f>SUM(K263:K269)</f>
        <v>0</v>
      </c>
      <c r="L270" s="1692">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0</v>
      </c>
      <c r="E279" s="617"/>
      <c r="F279" s="617"/>
      <c r="G279" s="617"/>
      <c r="H279" s="617"/>
      <c r="I279" s="617"/>
      <c r="J279" s="617"/>
      <c r="K279" s="1699">
        <f>SUM(K238,K243,K257,K261,K270,K277,K278)</f>
        <v>0</v>
      </c>
      <c r="L279" s="1699">
        <f>SUM(L238,L243,L257,L261,L270,L277,L278)</f>
        <v>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2" t="s">
        <v>526</v>
      </c>
      <c r="B295" s="2193"/>
      <c r="C295" s="617"/>
      <c r="D295" s="1692">
        <f>SUM(D229,D279,D280,D285)</f>
        <v>0</v>
      </c>
      <c r="E295" s="617"/>
      <c r="F295" s="617"/>
      <c r="G295" s="617"/>
      <c r="H295" s="1692">
        <f>H293</f>
        <v>0</v>
      </c>
      <c r="I295" s="617"/>
      <c r="J295" s="617"/>
      <c r="K295" s="1692">
        <f>SUM(K229,K279,K280,K285,K293,K294)</f>
        <v>0</v>
      </c>
      <c r="L295" s="1692">
        <f>SUM(L229,L279,L280,L285,L293,L294)</f>
        <v>0</v>
      </c>
    </row>
    <row r="296" spans="1:14" ht="13.5" thickTop="1" x14ac:dyDescent="0.2">
      <c r="A296" s="2174" t="s">
        <v>1053</v>
      </c>
      <c r="B296" s="2175"/>
      <c r="C296" s="617"/>
      <c r="D296" s="619"/>
      <c r="E296" s="617"/>
      <c r="F296" s="617"/>
      <c r="G296" s="617"/>
      <c r="H296" s="688"/>
      <c r="I296" s="617"/>
      <c r="J296" s="617"/>
      <c r="K296" s="1706">
        <f>'Revenues 9-14'!G275-'Expenditures 15-22'!K295</f>
        <v>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4" t="s">
        <v>145</v>
      </c>
      <c r="B298" s="2178"/>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9" t="s">
        <v>295</v>
      </c>
      <c r="B312" s="2190"/>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5" t="s">
        <v>1053</v>
      </c>
      <c r="B313" s="2186"/>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8" t="s">
        <v>151</v>
      </c>
      <c r="B315" s="2199"/>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0" t="s">
        <v>954</v>
      </c>
      <c r="B317" s="2199"/>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1907</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87" t="s">
        <v>1053</v>
      </c>
      <c r="B343" s="2188"/>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7" t="s">
        <v>1023</v>
      </c>
      <c r="B345" s="2178"/>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74" t="s">
        <v>1053</v>
      </c>
      <c r="B368" s="2175"/>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5" right="0.25" top="1" bottom="0.5" header="0.5" footer="0.25"/>
  <pageSetup scale="66" firstPageNumber="17" fitToWidth="0" fitToHeight="0" orientation="landscape" useFirstPageNumber="1" r:id="rId1"/>
  <headerFooter scaleWithDoc="0">
    <oddHeader>&amp;C&amp;"Arial,Bold"&amp;9STATEMENT OF EXPENDITURES DISBURSED/EXPENDITURES, BUDGET TO ACTUAL
FOR THE YEAR ENDING JUNE 30, 2018</oddHeader>
    <oddFooter>&amp;LSee notes to financial statements.&amp;C&amp;P</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4d435f69-8686-490b-bd6d-b153bf22ab50"/>
    <ds:schemaRef ds:uri="http://purl.org/dc/dcmitype/"/>
    <ds:schemaRef ds:uri="6ce3111e-7420-4802-b50a-75d4e9a0b980"/>
    <ds:schemaRef ds:uri="http://schemas.microsoft.com/office/2006/documentManagement/types"/>
    <ds:schemaRef ds:uri="d21dc803-237d-4c68-8692-8d731fd29118"/>
    <ds:schemaRef ds:uri="http://www.w3.org/XML/1998/namespace"/>
    <ds:schemaRef ds:uri="http://purl.org/dc/elements/1.1/"/>
    <ds:schemaRef ds:uri="http://purl.org/dc/terms/"/>
    <ds:schemaRef ds:uri="http://schemas.microsoft.com/office/2006/metadata/properties"/>
    <ds:schemaRef ds:uri="http://schemas.microsoft.com/office/infopath/2007/PartnerControls"/>
    <ds:schemaRef ds:uri="http://schemas.openxmlformats.org/package/2006/metadata/core-properties"/>
    <ds:schemaRef ds:uri="http://schemas.microsoft.com/sharepoint/v3"/>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2018-11-19T19:33:59Z</cp:lastPrinted>
  <dcterms:created xsi:type="dcterms:W3CDTF">2003-10-29T19:06:34Z</dcterms:created>
  <dcterms:modified xsi:type="dcterms:W3CDTF">2018-12-10T15:57:50Z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