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1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55" i="29" l="1"/>
  <c r="C61" i="29"/>
  <c r="D61" i="2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G17" i="181" l="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82" i="36"/>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6" i="108"/>
  <c r="G26" i="108"/>
  <c r="D27" i="108"/>
  <c r="E27" i="108"/>
  <c r="F27" i="108"/>
  <c r="G27" i="108"/>
  <c r="F31" i="108"/>
  <c r="F37" i="108"/>
  <c r="G28" i="108"/>
  <c r="E29" i="108"/>
  <c r="G29" i="108"/>
  <c r="E30" i="108"/>
  <c r="D31" i="108"/>
  <c r="D37" i="108"/>
  <c r="E31" i="108"/>
  <c r="G31" i="108"/>
  <c r="E33" i="108"/>
  <c r="G33" i="108"/>
  <c r="E34" i="108"/>
  <c r="G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F49" i="34" l="1"/>
  <c r="G5" i="4"/>
  <c r="B3409" i="106" s="1"/>
  <c r="D3409" i="106" s="1"/>
  <c r="D12" i="7"/>
  <c r="B1769" i="106" s="1"/>
  <c r="D1769" i="106" s="1"/>
  <c r="D26" i="108"/>
  <c r="F62" i="34"/>
  <c r="F36" i="34"/>
  <c r="G38" i="108"/>
  <c r="G30" i="108"/>
  <c r="F26" i="108"/>
  <c r="B6995" i="106"/>
  <c r="D6995" i="106" s="1"/>
  <c r="B2029" i="106"/>
  <c r="D2029" i="106" s="1"/>
  <c r="M19" i="3"/>
  <c r="I24" i="12"/>
  <c r="B1996" i="106" s="1"/>
  <c r="D1996" i="106" s="1"/>
  <c r="H112" i="29"/>
  <c r="B7018" i="106" s="1"/>
  <c r="D7018" i="106" s="1"/>
  <c r="H76" i="4"/>
  <c r="B3298" i="106" s="1"/>
  <c r="D3298" i="106" s="1"/>
  <c r="J210" i="29"/>
  <c r="B7072" i="106" s="1"/>
  <c r="D7072" i="106" s="1"/>
  <c r="B1995" i="106"/>
  <c r="D1995" i="106" s="1"/>
  <c r="K285" i="29"/>
  <c r="I210" i="29"/>
  <c r="B7071" i="106" s="1"/>
  <c r="D7071" i="106" s="1"/>
  <c r="I129" i="29"/>
  <c r="B7037" i="106" s="1"/>
  <c r="D7037" i="106" s="1"/>
  <c r="D6103" i="106"/>
  <c r="D5" i="4"/>
  <c r="B3406" i="106" s="1"/>
  <c r="D3406" i="106" s="1"/>
  <c r="D4" i="7"/>
  <c r="B1760" i="106" s="1"/>
  <c r="D1760" i="106" s="1"/>
  <c r="B1746" i="106"/>
  <c r="D1746" i="106" s="1"/>
  <c r="K28" i="118"/>
  <c r="O27" i="118" s="1"/>
  <c r="O29" i="118" s="1"/>
  <c r="D109" i="5"/>
  <c r="B5356" i="106" s="1"/>
  <c r="D5356" i="106" s="1"/>
  <c r="I274" i="5"/>
  <c r="F45" i="34"/>
  <c r="G39" i="108"/>
  <c r="D36" i="108"/>
  <c r="F36" i="108"/>
  <c r="J129" i="29"/>
  <c r="B7038" i="106" s="1"/>
  <c r="D7038" i="106" s="1"/>
  <c r="K41" i="3"/>
  <c r="D69" i="36"/>
  <c r="G15" i="145"/>
  <c r="F28" i="108"/>
  <c r="I26" i="12"/>
  <c r="B7741" i="106" s="1"/>
  <c r="D7741" i="106" s="1"/>
  <c r="F21" i="8"/>
  <c r="H33" i="118"/>
  <c r="F19" i="7"/>
  <c r="B1807" i="106" s="1"/>
  <c r="D1807" i="106" s="1"/>
  <c r="F41" i="34"/>
  <c r="E28" i="108"/>
  <c r="L342" i="29"/>
  <c r="F70" i="34"/>
  <c r="I173" i="5"/>
  <c r="B4216" i="106" s="1"/>
  <c r="D4216" i="106" s="1"/>
  <c r="F106" i="34"/>
  <c r="D17" i="7"/>
  <c r="B4104" i="106" s="1"/>
  <c r="D4104" i="106" s="1"/>
  <c r="D9" i="7"/>
  <c r="B1767" i="106" s="1"/>
  <c r="D1767" i="106" s="1"/>
  <c r="D13" i="7"/>
  <c r="B3726" i="106" s="1"/>
  <c r="D3726" i="106" s="1"/>
  <c r="L367" i="29"/>
  <c r="B3647" i="106"/>
  <c r="D3647" i="106" s="1"/>
  <c r="C342" i="29"/>
  <c r="B7216" i="106" s="1"/>
  <c r="D7216" i="106" s="1"/>
  <c r="K184" i="29"/>
  <c r="F13" i="4" s="1"/>
  <c r="B2596" i="106" s="1"/>
  <c r="D2596" i="106" s="1"/>
  <c r="K274" i="5"/>
  <c r="B6022" i="106" s="1"/>
  <c r="D6022" i="106" s="1"/>
  <c r="F77" i="4"/>
  <c r="B3255" i="106" s="1"/>
  <c r="D3255" i="106" s="1"/>
  <c r="J77" i="4"/>
  <c r="B6262" i="106" s="1"/>
  <c r="D6262" i="106" s="1"/>
  <c r="H173" i="5"/>
  <c r="H6" i="4" s="1"/>
  <c r="B2656" i="106" s="1"/>
  <c r="D2656" i="106" s="1"/>
  <c r="G109" i="5"/>
  <c r="B5096" i="106"/>
  <c r="D5096" i="106" s="1"/>
  <c r="D15" i="7"/>
  <c r="B1772" i="106" s="1"/>
  <c r="D1772" i="106" s="1"/>
  <c r="E109" i="5"/>
  <c r="E4" i="4" s="1"/>
  <c r="B2630" i="106" s="1"/>
  <c r="D2630" i="106" s="1"/>
  <c r="F111" i="34"/>
  <c r="D11" i="7"/>
  <c r="B1768" i="106" s="1"/>
  <c r="D1768" i="106" s="1"/>
  <c r="F128" i="34"/>
  <c r="J352" i="29"/>
  <c r="J367" i="29" s="1"/>
  <c r="B7245" i="106" s="1"/>
  <c r="D7245" i="106" s="1"/>
  <c r="C352" i="29"/>
  <c r="B3621" i="106" s="1"/>
  <c r="D3621" i="106" s="1"/>
  <c r="H342" i="29"/>
  <c r="G210" i="29"/>
  <c r="L13" i="11"/>
  <c r="B2060" i="106" s="1"/>
  <c r="D2060" i="106" s="1"/>
  <c r="L5" i="11"/>
  <c r="B2056" i="106" s="1"/>
  <c r="D2056" i="106" s="1"/>
  <c r="L15" i="11"/>
  <c r="B3459" i="106" s="1"/>
  <c r="D3459" i="106" s="1"/>
  <c r="B6006" i="106"/>
  <c r="D6006" i="106" s="1"/>
  <c r="K173" i="5"/>
  <c r="K6" i="4" s="1"/>
  <c r="B3570" i="106" s="1"/>
  <c r="D3570" i="106" s="1"/>
  <c r="H109" i="5"/>
  <c r="C109" i="5"/>
  <c r="B5121" i="106" s="1"/>
  <c r="D5121" i="106" s="1"/>
  <c r="B1745" i="106"/>
  <c r="D1745" i="106" s="1"/>
  <c r="D5" i="7"/>
  <c r="B1761" i="106" s="1"/>
  <c r="D1761" i="106" s="1"/>
  <c r="F130" i="34"/>
  <c r="F131" i="34"/>
  <c r="J274" i="5"/>
  <c r="B7054" i="106" s="1"/>
  <c r="D7054" i="106" s="1"/>
  <c r="B5488" i="106"/>
  <c r="D5488" i="106" s="1"/>
  <c r="F136" i="34"/>
  <c r="F127" i="34"/>
  <c r="G172" i="5"/>
  <c r="B5147" i="106"/>
  <c r="D5147" i="106" s="1"/>
  <c r="C172" i="5"/>
  <c r="B1747" i="106"/>
  <c r="D1747" i="106" s="1"/>
  <c r="D7" i="7"/>
  <c r="B1763" i="106" s="1"/>
  <c r="D1763" i="106" s="1"/>
  <c r="B6191" i="106"/>
  <c r="D6191" i="106" s="1"/>
  <c r="J41" i="3"/>
  <c r="B6216" i="106" s="1"/>
  <c r="D6216" i="106" s="1"/>
  <c r="F172" i="5"/>
  <c r="B5644" i="106" s="1"/>
  <c r="D5644" i="106" s="1"/>
  <c r="L312" i="29"/>
  <c r="I342" i="29"/>
  <c r="B7222" i="106" s="1"/>
  <c r="D7222" i="106" s="1"/>
  <c r="K350" i="29"/>
  <c r="B1223" i="106"/>
  <c r="D1223" i="106" s="1"/>
  <c r="K24" i="12"/>
  <c r="H365" i="29"/>
  <c r="K76" i="4"/>
  <c r="B3586" i="106" s="1"/>
  <c r="D3586" i="106" s="1"/>
  <c r="E174" i="29"/>
  <c r="B1309" i="106" s="1"/>
  <c r="D130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I151" i="29" l="1"/>
  <c r="F59" i="34" s="1"/>
  <c r="B1317" i="106"/>
  <c r="D1317" i="106" s="1"/>
  <c r="J151" i="29"/>
  <c r="B7052" i="106" s="1"/>
  <c r="D7052" i="106" s="1"/>
  <c r="D41" i="108"/>
  <c r="E43" i="108" s="1"/>
  <c r="B1381" i="106"/>
  <c r="D1381" i="106" s="1"/>
  <c r="B1328" i="106"/>
  <c r="D1328" i="106" s="1"/>
  <c r="M23" i="3"/>
  <c r="B276" i="106"/>
  <c r="D276" i="106" s="1"/>
  <c r="C367" i="29"/>
  <c r="B3622" i="106" s="1"/>
  <c r="D3622" i="106" s="1"/>
  <c r="F41" i="108"/>
  <c r="G43" i="108" s="1"/>
  <c r="D7253" i="106"/>
  <c r="D7252" i="106"/>
  <c r="F66" i="34"/>
  <c r="L16" i="11"/>
  <c r="B2061" i="106" s="1"/>
  <c r="D2061" i="106" s="1"/>
  <c r="D7255" i="106"/>
  <c r="D7256" i="106"/>
  <c r="D7251" i="106"/>
  <c r="F73" i="34"/>
  <c r="G15" i="4"/>
  <c r="B6032" i="106" s="1"/>
  <c r="D6032" i="106" s="1"/>
  <c r="D7254" i="106"/>
  <c r="B7235" i="106"/>
  <c r="D7235" i="106" s="1"/>
  <c r="D44" i="36"/>
  <c r="D51" i="36"/>
  <c r="K77" i="4"/>
  <c r="B3587" i="106" s="1"/>
  <c r="D3587" i="106" s="1"/>
  <c r="K7" i="4"/>
  <c r="B3718" i="106" s="1"/>
  <c r="D3718" i="106" s="1"/>
  <c r="I6" i="4"/>
  <c r="B5011" i="106" s="1"/>
  <c r="D5011" i="106" s="1"/>
  <c r="J7" i="4"/>
  <c r="B6222" i="106" s="1"/>
  <c r="D6222" i="106" s="1"/>
  <c r="H275" i="5"/>
  <c r="B5527" i="106"/>
  <c r="D5527" i="106" s="1"/>
  <c r="D4" i="4"/>
  <c r="B2564" i="106" s="1"/>
  <c r="D2564" i="106" s="1"/>
  <c r="B6014" i="106"/>
  <c r="D6014" i="106" s="1"/>
  <c r="C4" i="4"/>
  <c r="B2551" i="106" s="1"/>
  <c r="D2551" i="106" s="1"/>
  <c r="B5906" i="106"/>
  <c r="D5906" i="106" s="1"/>
  <c r="D19" i="7"/>
  <c r="B1775" i="106" s="1"/>
  <c r="D1775" i="106" s="1"/>
  <c r="B5914" i="106"/>
  <c r="D5914" i="106" s="1"/>
  <c r="B3568" i="106"/>
  <c r="D3568" i="106" s="1"/>
  <c r="D52" i="36"/>
  <c r="F173" i="5"/>
  <c r="D7250" i="106"/>
  <c r="B1879" i="106"/>
  <c r="D1879" i="106" s="1"/>
  <c r="H22" i="37"/>
  <c r="F274" i="5"/>
  <c r="F7" i="4" s="1"/>
  <c r="B2594" i="106" s="1"/>
  <c r="D2594" i="106" s="1"/>
  <c r="B1365" i="106"/>
  <c r="D1365" i="106" s="1"/>
  <c r="F65" i="34"/>
  <c r="B6024" i="106"/>
  <c r="D6024" i="106" s="1"/>
  <c r="G4" i="4"/>
  <c r="B2603" i="106" s="1"/>
  <c r="D2603" i="106" s="1"/>
  <c r="D274" i="5"/>
  <c r="B5507" i="106" s="1"/>
  <c r="D5507" i="106" s="1"/>
  <c r="C114" i="29"/>
  <c r="B757" i="106" s="1"/>
  <c r="D757" i="106" s="1"/>
  <c r="L114" i="29"/>
  <c r="K365" i="29"/>
  <c r="K16" i="4" s="1"/>
  <c r="H367" i="29"/>
  <c r="B3660" i="106" s="1"/>
  <c r="D3660" i="106" s="1"/>
  <c r="B7242" i="106"/>
  <c r="D7242" i="106" s="1"/>
  <c r="G173" i="5"/>
  <c r="B5770" i="106"/>
  <c r="D5770" i="106" s="1"/>
  <c r="B3670" i="106"/>
  <c r="D3670" i="106" s="1"/>
  <c r="K352" i="29"/>
  <c r="B6025" i="106"/>
  <c r="D6025" i="106" s="1"/>
  <c r="H4" i="4"/>
  <c r="B5214" i="106"/>
  <c r="D5214" i="106" s="1"/>
  <c r="C173" i="5"/>
  <c r="K342" i="29"/>
  <c r="F13" i="34" s="1"/>
  <c r="B7733" i="106"/>
  <c r="D7733" i="106" s="1"/>
  <c r="K26" i="12"/>
  <c r="B7743" i="106" s="1"/>
  <c r="D774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19" i="106" l="1"/>
  <c r="D5719" i="106" s="1"/>
  <c r="B279" i="106"/>
  <c r="D279" i="106" s="1"/>
  <c r="M40" i="3"/>
  <c r="F24" i="37"/>
  <c r="B1145" i="106"/>
  <c r="D1145" i="106" s="1"/>
  <c r="D7" i="4"/>
  <c r="D275" i="5"/>
  <c r="B5508" i="106" s="1"/>
  <c r="D5508" i="106" s="1"/>
  <c r="J8" i="4"/>
  <c r="J10" i="4" s="1"/>
  <c r="B6225" i="106" s="1"/>
  <c r="D6225" i="106" s="1"/>
  <c r="B7224" i="106"/>
  <c r="D7224" i="106" s="1"/>
  <c r="F6" i="4"/>
  <c r="B2593" i="106" s="1"/>
  <c r="D2593" i="106" s="1"/>
  <c r="B5653" i="106"/>
  <c r="D5653" i="106" s="1"/>
  <c r="F275" i="5"/>
  <c r="B5720" i="106" s="1"/>
  <c r="D5720" i="106" s="1"/>
  <c r="J17" i="4"/>
  <c r="G41" i="108"/>
  <c r="G44" i="108" s="1"/>
  <c r="G45" i="108" s="1"/>
  <c r="B5778" i="106"/>
  <c r="D5778" i="106" s="1"/>
  <c r="G6" i="4"/>
  <c r="B2604" i="106" s="1"/>
  <c r="D2604" i="106" s="1"/>
  <c r="B5223" i="106"/>
  <c r="D5223" i="106" s="1"/>
  <c r="C6" i="4"/>
  <c r="B2553" i="106" s="1"/>
  <c r="D2553" i="106" s="1"/>
  <c r="K13" i="4"/>
  <c r="B3572" i="106" s="1"/>
  <c r="D3572" i="106" s="1"/>
  <c r="B3672" i="106"/>
  <c r="D3672" i="106" s="1"/>
  <c r="E41" i="108"/>
  <c r="E44" i="108" s="1"/>
  <c r="E45" i="108" s="1"/>
  <c r="B2655" i="106"/>
  <c r="D2655" i="106" s="1"/>
  <c r="H8" i="4"/>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B6223" i="106"/>
  <c r="D6223" i="106" s="1"/>
  <c r="F8" i="4"/>
  <c r="D8" i="146" s="1"/>
  <c r="J20" i="4"/>
  <c r="B6230" i="106" s="1"/>
  <c r="D6230" i="106" s="1"/>
  <c r="B6227" i="106"/>
  <c r="D6227" i="106" s="1"/>
  <c r="J19" i="4"/>
  <c r="B6229" i="106" s="1"/>
  <c r="D6229" i="106" s="1"/>
  <c r="K17" i="4"/>
  <c r="B3575" i="106" s="1"/>
  <c r="D3575" i="106" s="1"/>
  <c r="D8" i="4"/>
  <c r="D10" i="4" s="1"/>
  <c r="B4123" i="106" s="1"/>
  <c r="D4123" i="10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281" i="106"/>
  <c r="D281" i="106" s="1"/>
  <c r="D54" i="36"/>
  <c r="F10" i="4"/>
  <c r="B4125" i="106" s="1"/>
  <c r="D4125" i="106" s="1"/>
  <c r="J78" i="4"/>
  <c r="B6263" i="106" s="1"/>
  <c r="D6263" i="106" s="1"/>
  <c r="K20" i="4"/>
  <c r="B3576" i="106" s="1"/>
  <c r="D3576" i="106" s="1"/>
  <c r="K19" i="4"/>
  <c r="B4144" i="106" s="1"/>
  <c r="D4144" i="106" s="1"/>
  <c r="B2568" i="106"/>
  <c r="D2568" i="106" s="1"/>
  <c r="C8" i="146"/>
  <c r="D20" i="4"/>
  <c r="D78" i="4"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J81" i="4"/>
  <c r="K78" i="4" l="1"/>
  <c r="B3588" i="106" s="1"/>
  <c r="D3588" i="106" s="1"/>
  <c r="F8" i="146"/>
  <c r="C10" i="146"/>
  <c r="B2574" i="106"/>
  <c r="D2574" i="106" s="1"/>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K81" i="4" l="1"/>
  <c r="B3591" i="106" s="1"/>
  <c r="D3591"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K82" i="4" l="1"/>
  <c r="K83" i="4" s="1"/>
  <c r="B6284" i="106" s="1"/>
  <c r="D6284" i="106" s="1"/>
  <c r="D65" i="36"/>
  <c r="J16" i="37"/>
  <c r="B4269" i="106" s="1"/>
  <c r="D4269" i="106" s="1"/>
  <c r="H12" i="118"/>
  <c r="K12" i="118" s="1"/>
  <c r="B6275" i="106"/>
  <c r="D6275"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<sst xmlns="http://schemas.openxmlformats.org/spreadsheetml/2006/main" count="5028" uniqueCount="2102">
  <si>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</si>
  <si>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</si>
  <si>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</si>
  <si>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</si>
  <si>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</si>
  <si>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</si>
  <si>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</si>
  <si>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</si>
  <si>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</si>
  <si>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</si>
  <si>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</si>
  <si>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</si>
  <si>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</si>
  <si>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</si>
  <si>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</si>
  <si>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</si>
  <si>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</si>
  <si>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</si>
  <si>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</si>
  <si>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</si>
  <si>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</si>
  <si>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</si>
  <si>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</si>
  <si>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</si>
  <si>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</si>
  <si>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</si>
  <si>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</si>
  <si>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</si>
  <si>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</si>
  <si>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</si>
  <si>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</si>
  <si>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</si>
  <si>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</si>
  <si>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</si>
  <si>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</si>
  <si>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</si>
  <si>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</si>
  <si>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</si>
  <si>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</si>
  <si>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</si>
  <si>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</si>
  <si>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</si>
  <si>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</si>
  <si>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</si>
  <si>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</si>
  <si>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</si>
  <si>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</si>
  <si>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</si>
  <si>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</si>
  <si>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</si>
  <si>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</si>
  <si>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</si>
  <si>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</si>
  <si>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</si>
  <si>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</si>
  <si>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</si>
  <si>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</si>
  <si>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</si>
  <si>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</si>
  <si>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</si>
  <si>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</si>
  <si>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</si>
  <si>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</si>
  <si>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</si>
  <si>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</si>
  <si>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</si>
  <si>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</si>
  <si>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</si>
  <si>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</si>
  <si>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</si>
  <si>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</si>
  <si>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</si>
  <si>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</si>
  <si>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</si>
  <si>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</si>
  <si>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</si>
  <si>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</si>
  <si>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</si>
  <si>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</si>
  <si>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</si>
  <si>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</si>
  <si>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</si>
  <si>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</si>
  <si>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</si>
  <si>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</si>
  <si>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</si>
  <si>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</si>
  <si>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</si>
  <si>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</si>
  <si>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</si>
  <si>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</si>
  <si>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</si>
  <si>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</si>
  <si>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</si>
  <si>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</si>
  <si>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</si>
  <si>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</si>
  <si>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</si>
  <si>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</si>
  <si>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</si>
  <si>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</si>
  <si>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</si>
  <si>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</si>
  <si>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</si>
  <si>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</si>
  <si>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</si>
  <si>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</si>
  <si>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</si>
  <si>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</si>
  <si>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</si>
  <si>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</si>
  <si>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</si>
  <si>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</si>
  <si>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</si>
  <si>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</si>
  <si>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</si>
  <si>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</si>
  <si>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</si>
  <si>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</si>
  <si>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</si>
  <si>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</si>
  <si>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</si>
  <si>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</si>
  <si>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</si>
  <si>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</si>
  <si>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</si>
  <si>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</si>
  <si>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</si>
  <si>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</si>
  <si>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</si>
  <si>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</si>
  <si>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</si>
  <si>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</si>
  <si>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</si>
  <si>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</si>
  <si>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</si>
  <si>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</si>
  <si>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</si>
  <si>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</si>
  <si>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</si>
  <si>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</si>
  <si>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</si>
  <si>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</si>
  <si>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</si>
  <si>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</si>
  <si>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</si>
  <si>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</si>
  <si>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</si>
  <si>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</si>
  <si>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</si>
  <si>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</si>
  <si>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</si>
  <si>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</si>
  <si>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</si>
  <si>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</si>
  <si>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</si>
  <si>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</si>
  <si>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</si>
  <si>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</si>
  <si>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</si>
  <si>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</si>
  <si>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</si>
  <si>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</si>
  <si>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</si>
  <si>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</si>
  <si>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</si>
  <si>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</si>
  <si>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</si>
  <si>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</si>
  <si>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</si>
  <si>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</si>
  <si>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</si>
  <si>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</si>
  <si>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</si>
  <si>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</si>
  <si>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</si>
  <si>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</si>
  <si>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</si>
  <si>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</si>
  <si>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</si>
  <si>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</si>
  <si>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</si>
  <si>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</si>
  <si>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</si>
  <si>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</si>
  <si>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</si>
  <si>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</si>
  <si>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</si>
  <si>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</si>
  <si>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</si>
  <si>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</si>
  <si>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</si>
  <si>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</si>
  <si>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</si>
  <si>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</si>
  <si>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</si>
  <si>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</si>
  <si>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</si>
  <si>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</si>
  <si>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</si>
  <si>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</si>
  <si>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</si>
  <si>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</si>
  <si>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</si>
  <si>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</si>
  <si>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</si>
  <si>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</si>
  <si>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</si>
  <si>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</si>
  <si>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</si>
  <si>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</si>
  <si>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</si>
  <si>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</si>
  <si>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</si>
  <si>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</si>
  <si>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</si>
  <si>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</si>
  <si>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</si>
  <si>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</si>
  <si>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</si>
  <si>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</si>
  <si>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</si>
  <si>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</si>
  <si>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</si>
  <si>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</si>
  <si>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</si>
  <si>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</si>
  <si>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</si>
  <si>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</si>
  <si>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</si>
  <si>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</si>
  <si>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</si>
  <si>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</si>
  <si>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</si>
  <si>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</si>
  <si>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</si>
  <si>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</si>
  <si>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</si>
  <si>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</si>
  <si>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</si>
  <si>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</si>
  <si>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</si>
  <si>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</si>
  <si>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</si>
  <si>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</si>
  <si>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</si>
  <si>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</si>
  <si>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</si>
  <si>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</si>
  <si>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</si>
  <si>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</si>
  <si>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</si>
  <si>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</si>
  <si>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</si>
  <si>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</si>
  <si>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</si>
  <si>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</si>
  <si>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</si>
  <si>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</si>
  <si>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</si>
  <si>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</si>
  <si>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</si>
  <si>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</si>
  <si>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</si>
  <si>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</si>
  <si>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</si>
  <si>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</si>
  <si>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</si>
  <si>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</si>
  <si>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</si>
  <si>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</si>
  <si>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</si>
  <si>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</si>
  <si>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</si>
  <si>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</si>
  <si>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</si>
  <si>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</si>
  <si>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</si>
  <si>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</si>
  <si>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</si>
  <si>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</si>
  <si>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</si>
  <si>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</si>
  <si>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</si>
  <si>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</si>
  <si>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</si>
  <si>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</si>
  <si>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</si>
  <si>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</si>
  <si>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</si>
  <si>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</si>
  <si>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</si>
  <si>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</si>
  <si>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</si>
  <si>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</si>
  <si>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</si>
  <si>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</si>
  <si>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</si>
  <si>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</si>
  <si>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</si>
  <si>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</si>
  <si>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</si>
  <si>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</si>
  <si>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</si>
  <si>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</si>
  <si>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</si>
  <si>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</si>
  <si>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</si>
  <si>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</si>
  <si>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</si>
  <si>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</si>
  <si>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</si>
  <si>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</si>
  <si>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</si>
  <si>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</si>
  <si>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</si>
  <si>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</si>
  <si>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</si>
  <si>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</si>
  <si>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</si>
  <si>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</si>
  <si>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</si>
  <si>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</si>
  <si>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</si>
  <si>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</si>
  <si>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</si>
  <si>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</si>
  <si>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</si>
  <si>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</si>
  <si>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</si>
  <si>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</si>
  <si>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</si>
  <si>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</si>
  <si>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</si>
  <si>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</si>
  <si>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</si>
  <si>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</si>
  <si>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</si>
  <si>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</si>
  <si>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</si>
  <si>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</si>
  <si>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</si>
  <si>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</si>
  <si>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</si>
  <si>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</si>
  <si>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</si>
  <si>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</si>
  <si>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</si>
  <si>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</si>
  <si>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</si>
  <si>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</si>
  <si>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</si>
  <si>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</si>
  <si>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</si>
  <si>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</si>
  <si>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</si>
  <si>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</si>
  <si>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</si>
  <si>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</si>
  <si>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</si>
  <si>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</si>
  <si>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</si>
  <si>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</si>
  <si>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</si>
  <si>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</si>
  <si>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</si>
  <si>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</si>
  <si>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</si>
  <si>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</si>
  <si>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</si>
  <si>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</si>
  <si>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</si>
  <si>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</si>
  <si>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</si>
  <si>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</si>
  <si>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</si>
  <si>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</si>
  <si>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</si>
  <si>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</si>
  <si>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</si>
  <si>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</si>
  <si>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</si>
  <si>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</si>
  <si>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</si>
  <si>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</si>
  <si>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</si>
  <si>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</si>
  <si>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</si>
  <si>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</si>
  <si>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</si>
  <si>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</si>
  <si>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</si>
  <si>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</si>
  <si>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</si>
  <si>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</si>
  <si>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</si>
  <si>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</si>
  <si>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</si>
  <si>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</si>
  <si>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</si>
  <si>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</si>
  <si>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</si>
  <si>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</si>
  <si>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</si>
  <si>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</si>
  <si>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</si>
  <si>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</si>
  <si>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</si>
  <si>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</si>
  <si>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</si>
  <si>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</si>
  <si>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</si>
  <si>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</si>
  <si>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</si>
  <si>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</si>
  <si>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</si>
  <si>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</si>
  <si>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</si>
  <si>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</si>
  <si>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</si>
  <si>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</si>
  <si>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</si>
  <si>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</si>
  <si>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</si>
  <si>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</si>
  <si>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</si>
  <si>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</si>
  <si>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</si>
  <si>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</si>
  <si>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</si>
  <si>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</si>
  <si>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</si>
  <si>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</si>
  <si>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</si>
  <si>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</si>
  <si>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</si>
  <si>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</si>
  <si>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</si>
  <si>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</si>
  <si>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</si>
  <si>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</si>
  <si>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</si>
  <si>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</si>
  <si>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</si>
  <si>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</si>
  <si>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</si>
  <si>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</si>
  <si>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</si>
  <si>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</si>
  <si>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</si>
  <si>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</si>
  <si>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</si>
  <si>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</si>
  <si>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</si>
  <si>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</si>
  <si>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</si>
  <si>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</si>
  <si>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</si>
  <si>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</si>
  <si>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</si>
  <si>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</si>
  <si>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</si>
  <si>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</si>
  <si>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</si>
  <si>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</si>
  <si>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</si>
  <si>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</si>
  <si>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</si>
  <si>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</si>
  <si>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</si>
  <si>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</si>
  <si>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</si>
  <si>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</si>
  <si>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</si>
  <si>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</si>
  <si>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</si>
  <si>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</si>
  <si>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</si>
  <si>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</si>
  <si>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</si>
  <si>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</si>
  <si>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</si>
  <si>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</si>
  <si>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</si>
  <si>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</si>
  <si>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</si>
  <si>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</si>
  <si>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</si>
  <si>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</si>
  <si>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</si>
  <si>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</si>
  <si>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</si>
  <si>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</si>
  <si>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</si>
  <si>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</si>
  <si>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</si>
  <si>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</si>
  <si>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</si>
  <si>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</si>
  <si>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</si>
  <si>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</si>
  <si>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</si>
  <si>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</si>
  <si>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</si>
  <si>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</si>
  <si>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</si>
  <si>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</si>
  <si>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</si>
  <si>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</si>
  <si>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</si>
  <si>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</si>
  <si>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</si>
  <si>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</si>
  <si>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</si>
  <si>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</si>
  <si>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</si>
  <si>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</si>
  <si>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</si>
  <si>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</si>
  <si>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</si>
  <si>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</si>
  <si>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</si>
  <si>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</si>
  <si>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</si>
  <si>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</si>
  <si>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</si>
  <si>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</si>
  <si>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</si>
  <si>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</si>
  <si>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</si>
  <si>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</si>
  <si>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</si>
  <si>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</si>
  <si>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</si>
  <si>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</si>
  <si>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</si>
  <si>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</si>
  <si>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</si>
  <si>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</si>
  <si>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</si>
  <si>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</si>
  <si>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</si>
  <si>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</si>
  <si>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</si>
  <si>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</si>
  <si>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</si>
  <si>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</si>
  <si>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</si>
  <si>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</si>
  <si>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</si>
  <si>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</si>
  <si>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</si>
  <si>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</si>
  <si>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</si>
  <si>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</si>
  <si>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</si>
  <si>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</si>
  <si>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</si>
  <si>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</si>
  <si>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</si>
  <si>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</si>
  <si>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</si>
  <si>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</si>
  <si>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</si>
  <si>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</si>
  <si>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</si>
  <si>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</si>
  <si>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</si>
  <si>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</si>
  <si>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</si>
  <si>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</si>
  <si>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</si>
  <si>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</si>
  <si>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</si>
  <si>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</si>
  <si>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</si>
  <si>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</si>
  <si>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</si>
  <si>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</si>
  <si>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</si>
  <si>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</si>
  <si>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</si>
  <si>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</si>
  <si>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</si>
  <si>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</si>
  <si>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</si>
  <si>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</si>
  <si>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</si>
  <si>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</si>
  <si>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</si>
  <si>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</si>
  <si>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</si>
  <si>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</si>
  <si>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</si>
  <si>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</si>
  <si>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</si>
  <si>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</si>
  <si>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</si>
  <si>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</si>
  <si>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</si>
  <si>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</si>
  <si>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</si>
  <si>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</si>
  <si>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</si>
  <si>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</si>
  <si>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</si>
  <si>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</si>
  <si>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</si>
  <si>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</si>
  <si>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</si>
  <si>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</si>
  <si>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</si>
  <si>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</si>
  <si>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</si>
  <si>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</si>
  <si>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</si>
  <si>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</si>
  <si>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</si>
  <si>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</si>
  <si>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</si>
  <si>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</si>
  <si>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</si>
  <si>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</si>
  <si>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</si>
  <si>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</si>
  <si>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</si>
  <si>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</si>
  <si>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</si>
  <si>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</si>
  <si>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</si>
  <si>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</si>
  <si>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</si>
  <si>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</si>
  <si>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</si>
  <si>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</si>
  <si>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</si>
  <si>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</si>
  <si>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</si>
  <si>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</si>
  <si>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</si>
  <si>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</si>
  <si>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</si>
  <si>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</si>
  <si>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</si>
  <si>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</si>
  <si>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</si>
  <si>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</si>
  <si>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</si>
  <si>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</si>
  <si>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</si>
  <si>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</si>
  <si>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</si>
  <si>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</si>
  <si>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</si>
  <si>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</si>
  <si>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</si>
  <si>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</si>
  <si>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</si>
  <si>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</si>
  <si>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</si>
  <si>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</si>
  <si>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</si>
  <si>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</si>
  <si>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</si>
  <si>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</si>
  <si>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</si>
  <si>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</si>
  <si>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</si>
  <si>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</si>
  <si>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</si>
  <si>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</si>
  <si>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</si>
  <si>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</si>
  <si>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</si>
  <si>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</si>
  <si>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</si>
  <si>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</si>
  <si>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</si>
  <si>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</si>
  <si>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</si>
  <si>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</si>
  <si>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</si>
  <si>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</si>
  <si>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</si>
  <si>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</si>
  <si>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</si>
  <si>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</si>
  <si>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</si>
  <si>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</si>
  <si>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</si>
  <si>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</si>
  <si>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</si>
  <si>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</si>
  <si>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</si>
  <si>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</si>
  <si>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</si>
  <si>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</si>
  <si>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</si>
  <si>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</si>
  <si>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</si>
  <si>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</si>
  <si>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</si>
  <si>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</si>
  <si>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</si>
  <si>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</si>
  <si>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</si>
  <si>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</si>
  <si>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</si>
  <si>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</si>
  <si>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</si>
  <si>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</si>
  <si>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</si>
  <si>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</si>
  <si>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</si>
  <si>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</si>
  <si>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</si>
  <si>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</si>
  <si>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</si>
  <si>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</si>
  <si>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</si>
  <si>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</si>
  <si>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</si>
  <si>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</si>
  <si>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</si>
  <si>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</si>
  <si>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</si>
  <si>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</si>
  <si>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</si>
  <si>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</si>
  <si>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</si>
  <si>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</si>
  <si>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</si>
  <si>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</si>
  <si>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</si>
  <si>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</si>
  <si>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</si>
  <si>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</si>
  <si>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</si>
  <si>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</si>
  <si>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</si>
  <si>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</si>
  <si>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</si>
  <si>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</si>
  <si>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</si>
  <si>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</si>
  <si>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</si>
  <si>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</si>
  <si>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</si>
  <si>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</si>
  <si>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</si>
  <si>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</si>
  <si>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</si>
  <si>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</si>
  <si>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</si>
  <si>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</si>
  <si>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</si>
  <si>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</si>
  <si>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</si>
  <si>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</si>
  <si>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</si>
  <si>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</si>
  <si>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</si>
  <si>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</si>
  <si>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</si>
  <si>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</si>
  <si>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</si>
  <si>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</si>
  <si>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</si>
  <si>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</si>
  <si>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</si>
  <si>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</si>
  <si>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</si>
  <si>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</si>
  <si>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</si>
  <si>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</si>
  <si>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</si>
  <si>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</si>
  <si>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</si>
  <si>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</si>
  <si>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</si>
  <si>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</si>
  <si>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</si>
  <si>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</si>
  <si>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</si>
  <si>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</si>
  <si>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</si>
  <si>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</si>
  <si>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</si>
  <si>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</si>
  <si>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</si>
  <si>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</si>
  <si>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</si>
  <si>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</si>
  <si>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</si>
  <si>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</si>
  <si>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</si>
  <si>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</si>
  <si>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</si>
  <si>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</si>
  <si>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</si>
  <si>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</si>
  <si>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</si>
  <si>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</si>
  <si>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</si>
  <si>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</si>
  <si>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</si>
  <si>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</si>
  <si>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</si>
  <si>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</si>
  <si>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</si>
  <si>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</si>
  <si>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</si>
  <si>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</si>
  <si>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</si>
  <si>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</si>
  <si>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</si>
  <si>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</si>
  <si>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</si>
  <si>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</si>
  <si>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</si>
  <si>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</si>
  <si>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</si>
  <si>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</si>
  <si>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</si>
  <si>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</si>
  <si>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</si>
  <si>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</si>
  <si>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</si>
  <si>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</si>
  <si>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</si>
  <si>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</si>
  <si>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</si>
  <si>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</si>
  <si>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</si>
  <si>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</si>
  <si>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</si>
  <si>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</si>
  <si>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</si>
  <si>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</si>
  <si>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</si>
  <si>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</si>
  <si>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</si>
  <si>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</si>
  <si>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</si>
  <si>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</si>
  <si>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</si>
  <si>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</si>
  <si>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</si>
  <si>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</si>
  <si>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</si>
  <si>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</si>
  <si>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</si>
  <si>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</si>
  <si>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</si>
  <si>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</si>
  <si>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</si>
  <si>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</si>
  <si>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</si>
  <si>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</si>
  <si>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</si>
  <si>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</si>
  <si>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</si>
  <si>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</si>
  <si>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</si>
  <si>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</si>
  <si>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</si>
  <si>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</si>
  <si>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</si>
  <si>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</si>
  <si>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</si>
  <si>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</si>
  <si>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</si>
  <si>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</si>
  <si>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</si>
  <si>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</si>
  <si>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</si>
  <si>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</si>
  <si>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</si>
  <si>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</si>
  <si>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</si>
  <si>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</si>
  <si>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</si>
  <si>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</si>
  <si>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</si>
  <si>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</si>
  <si>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</si>
  <si>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</si>
  <si>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</si>
  <si>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</si>
  <si>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</si>
  <si>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</si>
  <si>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</si>
  <si>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</si>
  <si>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</si>
  <si>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</si>
  <si>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</si>
  <si>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</si>
  <si>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</si>
  <si>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</si>
  <si>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</si>
  <si>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</si>
  <si>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</si>
  <si>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</si>
  <si>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</si>
  <si>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</si>
  <si>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</si>
  <si>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</si>
  <si>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</si>
  <si>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</si>
  <si>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</si>
  <si>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</si>
  <si>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</si>
  <si>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</si>
  <si>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</si>
  <si>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</si>
  <si>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</si>
  <si>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</si>
  <si>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</si>
  <si>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</si>
  <si>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</si>
  <si>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</si>
  <si>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</si>
  <si>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</si>
  <si>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</si>
  <si>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</si>
  <si>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</si>
  <si>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</si>
  <si>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</si>
  <si>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</si>
  <si>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</si>
  <si>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</si>
  <si>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</si>
  <si>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</si>
  <si>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</si>
  <si>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</si>
  <si>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</si>
  <si>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</si>
  <si>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</si>
  <si>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</si>
  <si>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</si>
  <si>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</si>
  <si>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</si>
  <si>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</si>
  <si>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</si>
  <si>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</si>
  <si>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</si>
  <si>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</si>
  <si>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</si>
  <si>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</si>
  <si>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</si>
  <si>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</si>
  <si>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</si>
  <si>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</si>
  <si>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</si>
  <si>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</si>
  <si>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</si>
  <si>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</si>
  <si>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</si>
  <si>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</si>
  <si>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</si>
  <si>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</si>
  <si>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</si>
  <si>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</si>
  <si>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</si>
  <si>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</si>
  <si>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</si>
  <si>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</si>
  <si>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</si>
  <si>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</si>
  <si>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</si>
  <si>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</si>
  <si>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</si>
  <si>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</si>
  <si>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</si>
  <si>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</si>
  <si>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</si>
  <si>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</si>
  <si>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</si>
  <si>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</si>
  <si>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</si>
  <si>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</si>
  <si>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</si>
  <si>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</si>
  <si>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</si>
  <si>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</si>
  <si>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</si>
  <si>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</si>
  <si>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</si>
  <si>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</si>
  <si>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</si>
  <si>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</si>
  <si>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</si>
  <si>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</si>
  <si>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</si>
  <si>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</si>
  <si>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</si>
  <si>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</si>
  <si>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</si>
  <si>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</si>
  <si>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</si>
  <si>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</si>
  <si>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</si>
  <si>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</si>
  <si>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</si>
  <si>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</si>
  <si>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</si>
  <si>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</si>
  <si>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</si>
  <si>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</si>
  <si>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</si>
  <si>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</si>
  <si>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</si>
  <si>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</si>
  <si>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</si>
  <si>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</si>
  <si>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</si>
  <si>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</si>
  <si>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</si>
  <si>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</si>
  <si>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</si>
  <si>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</si>
  <si>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</si>
  <si>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</si>
  <si>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</si>
  <si>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</si>
  <si>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</si>
  <si>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</si>
  <si>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</si>
  <si>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</si>
  <si>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</si>
  <si>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</si>
  <si>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</si>
  <si>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</si>
  <si>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</si>
  <si>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</si>
  <si>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</si>
  <si>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</si>
  <si>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</si>
  <si>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</si>
  <si>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</si>
  <si>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</si>
  <si>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</si>
  <si>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</si>
  <si>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</si>
  <si>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</si>
  <si>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</si>
  <si>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</si>
  <si>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</si>
  <si>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</si>
  <si>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</si>
  <si>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</si>
  <si>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</si>
  <si>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</si>
  <si>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</si>
  <si>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</si>
  <si>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</si>
  <si>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</si>
  <si>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</si>
  <si>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</si>
  <si>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</si>
  <si>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</si>
  <si>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</si>
  <si>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</si>
  <si>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</si>
  <si>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</si>
  <si>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</si>
  <si>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</si>
  <si>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</si>
  <si>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</si>
  <si>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</si>
  <si>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</si>
  <si>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</si>
  <si>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</si>
  <si>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</si>
  <si>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</si>
  <si>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</si>
  <si>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</si>
  <si>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</si>
  <si>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</si>
  <si>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</si>
  <si>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</si>
  <si>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</si>
  <si>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</si>
  <si>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</si>
  <si>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</si>
  <si>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</si>
  <si>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</si>
  <si>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</si>
  <si>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</si>
  <si>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</si>
  <si>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</si>
  <si>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</si>
  <si>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</si>
  <si>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</si>
  <si>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</si>
  <si>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</si>
  <si>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</si>
  <si>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</si>
  <si>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</si>
  <si>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</si>
  <si>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</si>
  <si>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</si>
  <si>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</si>
  <si>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</si>
  <si>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</si>
  <si>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</si>
  <si>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</si>
  <si>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</si>
  <si>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</si>
  <si>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</si>
  <si>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</si>
  <si>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</si>
  <si>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</si>
  <si>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</si>
  <si>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</si>
  <si>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</si>
  <si>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</si>
  <si>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</si>
  <si>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</si>
  <si>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</si>
  <si>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</si>
  <si>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</si>
  <si>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</si>
  <si>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</si>
  <si>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</si>
  <si>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</si>
  <si>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</si>
  <si>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</si>
  <si>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</si>
  <si>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</si>
  <si>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</si>
  <si>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</si>
  <si>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</si>
  <si>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</si>
  <si>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</si>
  <si>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</si>
  <si>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</si>
  <si>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</si>
  <si>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</si>
  <si>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</si>
  <si>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</si>
  <si>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</si>
  <si>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</si>
  <si>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</si>
  <si>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</si>
  <si>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</si>
  <si>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</si>
  <si>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</si>
  <si>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</si>
  <si>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</si>
  <si>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</si>
  <si>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</si>
  <si>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</si>
  <si>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</si>
  <si>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</si>
  <si>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</si>
  <si>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</si>
  <si>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</si>
  <si>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</si>
  <si>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</si>
  <si>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</si>
  <si>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</si>
  <si>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</si>
  <si>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</si>
  <si>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</si>
  <si>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</si>
  <si>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</si>
  <si>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</si>
  <si>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</si>
  <si>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</si>
  <si>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</si>
  <si>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</si>
  <si>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</si>
  <si>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</si>
  <si>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</si>
  <si>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</si>
  <si>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</si>
  <si>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</si>
  <si>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</si>
  <si>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</si>
  <si>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</si>
  <si>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</si>
  <si>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</si>
  <si>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</si>
  <si>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</si>
  <si>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</si>
  <si>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</si>
  <si>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</si>
  <si>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</si>
  <si>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</si>
  <si>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</si>
  <si>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</si>
  <si>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</si>
  <si>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</si>
  <si>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</si>
  <si>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</si>
  <si>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</si>
  <si>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</si>
  <si>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</si>
  <si>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</si>
  <si>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</si>
  <si>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</si>
  <si>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</si>
  <si>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</si>
  <si>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</si>
  <si>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</si>
  <si>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</si>
  <si>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</si>
  <si>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</si>
  <si>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</si>
  <si>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</si>
  <si>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</si>
  <si>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</si>
  <si>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</si>
  <si>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</si>
  <si>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</si>
  <si>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</si>
  <si>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</si>
  <si>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</si>
  <si>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</si>
  <si>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</si>
  <si>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</si>
  <si>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</si>
  <si>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</si>
  <si>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</si>
  <si>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</si>
  <si>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</si>
  <si>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</si>
  <si>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</si>
  <si>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</si>
  <si>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</si>
  <si>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</si>
  <si>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</si>
  <si>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</si>
  <si>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</si>
  <si>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</si>
  <si>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</si>
  <si>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</si>
  <si>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</si>
  <si>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</si>
  <si>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</si>
  <si>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</si>
  <si>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</si>
  <si>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</si>
  <si>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</si>
  <si>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</si>
  <si>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</si>
  <si>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</si>
  <si>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</si>
  <si>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</si>
  <si>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</si>
  <si>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</si>
  <si>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</si>
  <si>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</si>
  <si>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</si>
  <si>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</si>
  <si>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</si>
  <si>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</si>
  <si>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</si>
  <si>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</si>
  <si>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</si>
  <si>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</si>
  <si>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</si>
  <si>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</si>
  <si>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</si>
  <si>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</si>
  <si>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</si>
  <si>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</si>
  <si>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</si>
  <si>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</si>
  <si>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</si>
  <si>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</si>
  <si>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</si>
  <si>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</si>
  <si>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</si>
  <si>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</si>
  <si>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</si>
  <si>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</si>
  <si>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</si>
  <si>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</si>
  <si>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</si>
  <si>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</si>
  <si>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</si>
  <si>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</si>
  <si>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</si>
  <si>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</si>
  <si>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</si>
  <si>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</si>
  <si>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</si>
  <si>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</si>
  <si>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</si>
  <si>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</si>
  <si>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</si>
  <si>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</si>
  <si>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</si>
  <si>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</si>
  <si>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</si>
  <si>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</si>
  <si>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</si>
  <si>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</si>
  <si>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</si>
  <si>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</si>
  <si>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</si>
  <si>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</si>
  <si>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</si>
  <si>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</si>
  <si>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</si>
  <si>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</si>
  <si>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</si>
  <si>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</si>
  <si>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</si>
  <si>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</si>
  <si>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</si>
  <si>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</si>
  <si>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</si>
  <si>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</si>
  <si>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</si>
  <si>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</si>
  <si>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</si>
  <si>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</si>
  <si>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</si>
  <si>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</si>
  <si>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</si>
  <si>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</si>
  <si>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</si>
  <si>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</si>
  <si>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</si>
  <si>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</si>
  <si>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</si>
  <si>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</si>
  <si>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</si>
  <si>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</si>
  <si>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</si>
  <si>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</si>
  <si>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</si>
  <si>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</si>
  <si>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</si>
  <si>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</si>
  <si>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</si>
  <si>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</si>
  <si>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</si>
  <si>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</si>
  <si>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</si>
  <si>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</si>
  <si>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</si>
  <si>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</si>
  <si>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</si>
  <si>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</si>
  <si>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</si>
  <si>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</si>
  <si>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</si>
  <si>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</si>
  <si>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</si>
  <si>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</si>
  <si>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</si>
  <si>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</si>
  <si>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</si>
  <si>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</si>
  <si>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</si>
  <si>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</si>
  <si>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</si>
  <si>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</si>
  <si>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</si>
  <si>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</si>
  <si>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</si>
  <si>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</si>
  <si>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</si>
  <si>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</si>
  <si>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</si>
  <si>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</si>
  <si>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</si>
  <si>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</si>
  <si>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</si>
  <si>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</si>
  <si>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</si>
  <si>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</si>
  <si>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</si>
  <si>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</si>
  <si>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</si>
  <si>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</si>
  <si>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</si>
  <si>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</si>
  <si>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</si>
  <si>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</si>
  <si>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</si>
  <si>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</si>
  <si>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</si>
  <si>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</si>
  <si>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</si>
  <si>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</si>
  <si>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</si>
  <si>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</si>
  <si>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</si>
  <si>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</si>
  <si>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</si>
  <si>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</si>
  <si>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</si>
  <si>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</si>
  <si>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</si>
  <si>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</si>
  <si>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</si>
  <si>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</si>
  <si>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</si>
  <si>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</si>
  <si>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</si>
  <si>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</si>
  <si>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</si>
  <si>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</si>
  <si>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</si>
  <si>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</si>
  <si>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</si>
  <si>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</si>
  <si>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</si>
  <si>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</si>
  <si>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</si>
  <si>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</si>
  <si>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</si>
  <si>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</si>
  <si>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</si>
  <si>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</si>
  <si>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</si>
  <si>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</si>
  <si>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</si>
  <si>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</si>
  <si>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</si>
  <si>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</si>
  <si>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</si>
  <si>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</si>
  <si>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</si>
  <si>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</si>
  <si>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</si>
  <si>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</si>
  <si>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</si>
  <si>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</si>
  <si>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</si>
  <si>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</si>
  <si>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</si>
  <si>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</si>
  <si>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</si>
  <si>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</si>
  <si>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</si>
  <si>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</si>
  <si>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</si>
  <si>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</si>
  <si>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</si>
  <si>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</si>
  <si>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</si>
  <si>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</si>
  <si>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</si>
  <si>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</si>
  <si>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</si>
  <si>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</si>
  <si>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</si>
  <si>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</si>
  <si>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</si>
  <si>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</si>
  <si>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</si>
  <si>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</si>
  <si>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</si>
  <si>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</si>
  <si>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</si>
  <si>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</si>
  <si>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</si>
  <si>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</si>
  <si>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</si>
  <si>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</si>
  <si>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</si>
  <si>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</si>
  <si>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</si>
  <si>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</si>
  <si>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</si>
  <si>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</si>
  <si>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</si>
  <si>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</si>
  <si>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</si>
  <si>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</si>
  <si>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</si>
  <si>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</si>
  <si>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</si>
  <si>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</si>
  <si>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</si>
  <si>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</si>
  <si>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</si>
  <si>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</si>
  <si>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</si>
  <si>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</si>
  <si>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</si>
  <si>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</si>
  <si>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</si>
  <si>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</si>
  <si>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</si>
  <si>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</si>
  <si>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</si>
  <si>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</si>
  <si>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</si>
  <si>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</si>
  <si>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</si>
  <si>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</si>
  <si>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</si>
  <si>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</si>
  <si>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</si>
  <si>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</si>
  <si>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</si>
  <si>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</si>
  <si>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</si>
  <si>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</si>
  <si>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</si>
  <si>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</si>
  <si>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</si>
  <si>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</si>
  <si>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</si>
  <si>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</si>
  <si>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</si>
  <si>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</si>
  <si>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</si>
  <si>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</si>
  <si>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</si>
  <si>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</si>
  <si>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</si>
  <si>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</si>
  <si>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</si>
  <si>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</si>
  <si>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</si>
  <si>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</si>
  <si>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</si>
  <si>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</si>
  <si>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</si>
  <si>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</si>
  <si>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</si>
  <si>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</si>
  <si>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</si>
  <si>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</si>
  <si>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</si>
  <si>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</si>
  <si>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</si>
  <si>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</si>
  <si>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</si>
  <si>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</si>
  <si>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</si>
  <si>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</si>
  <si>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</si>
  <si>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</si>
  <si>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</si>
  <si>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</si>
  <si>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</si>
  <si>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</si>
  <si>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</si>
  <si>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</si>
  <si>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</si>
  <si>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</si>
  <si>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</si>
  <si>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</si>
  <si>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</si>
  <si>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</si>
  <si>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</si>
  <si>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</si>
  <si>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</si>
  <si>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</si>
  <si>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</si>
  <si>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</si>
  <si>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</si>
  <si>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</si>
  <si>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</si>
  <si>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</si>
  <si>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</si>
  <si>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</si>
  <si>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</si>
  <si>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</si>
  <si>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</si>
  <si>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</si>
  <si>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</si>
  <si>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</si>
  <si>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</si>
  <si>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</si>
  <si>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</si>
  <si>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</si>
  <si>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</si>
  <si>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</si>
  <si>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</si>
  <si>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</si>
  <si>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</si>
  <si>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</si>
  <si>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</si>
  <si>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</si>
  <si>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</si>
  <si>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</si>
  <si>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</si>
  <si>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</si>
  <si>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</si>
  <si>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</si>
  <si>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</si>
  <si>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</si>
  <si>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</si>
  <si>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</si>
  <si>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</si>
  <si>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</si>
  <si>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</si>
  <si>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</si>
  <si>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</si>
  <si>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</si>
  <si>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</si>
  <si>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</si>
  <si>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</si>
  <si>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</si>
  <si>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</si>
  <si>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</si>
  <si>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</si>
  <si>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</si>
  <si>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</si>
  <si>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</si>
  <si>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</si>
  <si>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</si>
  <si>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</si>
  <si>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</si>
  <si>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</si>
  <si>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</si>
  <si>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</si>
  <si>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</si>
  <si>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</si>
  <si>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</si>
  <si>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</si>
  <si>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</si>
  <si>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</si>
  <si>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</si>
  <si>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</si>
  <si>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</si>
  <si>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</si>
  <si>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</si>
  <si>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</si>
  <si>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</si>
  <si>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</si>
  <si>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</si>
  <si>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</si>
  <si>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</si>
  <si>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</si>
  <si>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</si>
  <si>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</si>
  <si>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</si>
  <si>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</si>
  <si>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</si>
  <si>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</si>
  <si>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</si>
  <si>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</si>
  <si>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</si>
  <si>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</si>
  <si>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</si>
  <si>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</si>
  <si>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</si>
  <si>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</si>
  <si>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</si>
  <si>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</si>
  <si>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</si>
  <si>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</si>
  <si>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</si>
  <si>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</si>
  <si>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</si>
  <si>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</si>
  <si>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</si>
  <si>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</si>
  <si>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</si>
  <si>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</si>
  <si>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</si>
  <si>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</si>
  <si>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</si>
  <si>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</si>
  <si>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</si>
  <si>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</si>
  <si>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</si>
  <si>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</si>
  <si>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</si>
  <si>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</si>
  <si>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</si>
  <si>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</si>
  <si>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</si>
  <si>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</si>
  <si>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</si>
  <si>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</si>
  <si>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</si>
  <si>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</si>
  <si>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</si>
  <si>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</si>
  <si>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</si>
  <si>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</si>
  <si>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</si>
  <si>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</si>
  <si>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</si>
  <si>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</si>
  <si>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</si>
  <si>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</si>
  <si>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</si>
  <si>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</si>
  <si>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</si>
  <si>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</si>
  <si>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</si>
  <si>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</si>
  <si>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</si>
  <si>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</si>
  <si>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</si>
  <si>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</si>
  <si>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</si>
  <si>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</si>
  <si>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</si>
  <si>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</si>
  <si>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</si>
  <si>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</si>
  <si>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</si>
  <si>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</si>
  <si>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</si>
  <si>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</si>
  <si>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</si>
  <si>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</si>
  <si>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</si>
  <si>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</si>
  <si>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</si>
  <si>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</si>
  <si>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</si>
  <si>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</si>
  <si>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</si>
  <si>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</si>
  <si>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</si>
  <si>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</si>
  <si>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</si>
  <si>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</si>
  <si>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</si>
  <si>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</si>
  <si>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</si>
  <si>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</si>
  <si>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</si>
  <si>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</si>
  <si>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</si>
  <si>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</si>
  <si>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</si>
  <si>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</si>
  <si>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</si>
  <si>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</si>
  <si>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</si>
  <si>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</si>
  <si>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</si>
  <si>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</si>
  <si>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</si>
  <si>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</si>
  <si>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</si>
  <si>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</si>
  <si>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</si>
  <si>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</si>
  <si>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</si>
  <si>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</si>
  <si>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</si>
  <si>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</si>
  <si>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</si>
  <si>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</si>
  <si>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</si>
  <si>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</si>
  <si>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</si>
  <si>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</si>
  <si>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</si>
  <si>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</si>
  <si>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</si>
  <si>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</si>
  <si>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</si>
  <si>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</si>
  <si>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</si>
  <si>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</si>
  <si>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</si>
  <si>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</si>
  <si>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</si>
  <si>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</si>
  <si>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</si>
  <si>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</si>
  <si>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</si>
  <si>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</si>
  <si>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</si>
  <si>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</si>
  <si>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</si>
  <si>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</si>
  <si>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</si>
  <si>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</si>
  <si>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</si>
  <si>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</si>
  <si>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</si>
  <si>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</si>
  <si>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</si>
  <si>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</si>
  <si>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</si>
  <si>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</si>
  <si>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</si>
  <si>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</si>
  <si>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</si>
  <si>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</si>
  <si>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</si>
  <si>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</si>
  <si>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</si>
  <si>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</si>
  <si>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</si>
  <si>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</si>
  <si>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</si>
  <si>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</si>
  <si>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</si>
  <si>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</si>
  <si>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</si>
  <si>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</si>
  <si>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</si>
  <si>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</si>
  <si>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</si>
  <si>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</si>
  <si>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</si>
  <si>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</si>
  <si>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</si>
  <si>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</si>
  <si>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</si>
  <si>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</si>
  <si>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</si>
  <si>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</si>
  <si>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</si>
  <si>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</si>
  <si>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</si>
  <si>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</si>
  <si>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</si>
  <si>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</si>
  <si>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</si>
  <si>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</si>
  <si>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</si>
  <si>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</si>
  <si>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</si>
  <si>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</si>
  <si>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</si>
  <si>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</si>
  <si>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</si>
  <si>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</si>
  <si>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</si>
  <si>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</si>
  <si>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</si>
  <si>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</si>
  <si>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</si>
  <si>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</si>
  <si>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</si>
  <si>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</si>
  <si>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</si>
  <si>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</si>
  <si>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</si>
  <si>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</si>
  <si>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</si>
  <si>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</si>
  <si>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</si>
  <si>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</si>
  <si>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</si>
  <si>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</si>
  <si>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</si>
  <si>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</si>
  <si>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</si>
  <si>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</si>
  <si>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</si>
  <si>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</si>
  <si>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</si>
  <si>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</si>
  <si>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</si>
  <si>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</si>
  <si>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</si>
  <si>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</si>
  <si>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</si>
  <si>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</si>
  <si>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</si>
  <si>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</si>
  <si>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</si>
  <si>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</si>
  <si>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</si>
  <si>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</si>
  <si>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</si>
  <si>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</si>
  <si>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</si>
  <si>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</si>
  <si>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</si>
  <si>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</si>
  <si>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</si>
  <si>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</si>
  <si>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</si>
  <si>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</si>
  <si>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</si>
  <si>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</si>
  <si>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</si>
  <si>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</si>
  <si>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</si>
  <si>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</si>
  <si>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</si>
  <si>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</si>
  <si>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</si>
  <si>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</si>
  <si>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</si>
  <si>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</si>
  <si>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</si>
  <si>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</si>
  <si>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</si>
  <si>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</si>
  <si>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</si>
  <si>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</si>
  <si>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</si>
  <si>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</si>
  <si>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</si>
  <si>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</si>
  <si>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</si>
  <si>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</si>
  <si>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</si>
  <si>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</si>
  <si>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</si>
  <si>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</si>
  <si>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</si>
  <si>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</si>
  <si>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</si>
  <si>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</si>
  <si>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</si>
  <si>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</si>
  <si>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</si>
  <si>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</si>
  <si>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</si>
  <si>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</si>
  <si>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</si>
  <si>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</si>
  <si>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</si>
  <si>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</si>
  <si>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</si>
  <si>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</si>
  <si>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</si>
  <si>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</si>
  <si>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</si>
  <si>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</si>
  <si>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</si>
  <si>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</si>
  <si>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</si>
  <si>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</si>
  <si>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</si>
  <si>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</si>
  <si>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</si>
  <si>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</si>
  <si>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</si>
  <si>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</si>
  <si>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</si>
  <si>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</si>
  <si>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</si>
  <si>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</si>
  <si>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</si>
  <si>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</si>
  <si>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</si>
  <si>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</si>
  <si>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</si>
  <si>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</si>
  <si>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</si>
  <si>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</si>
  <si>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</si>
  <si>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</si>
  <si>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</si>
  <si>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</si>
  <si>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</si>
  <si>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</si>
  <si>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</si>
  <si>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</si>
  <si>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</si>
  <si>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</si>
  <si>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</si>
  <si>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</si>
  <si>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</si>
  <si>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</si>
  <si>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</si>
  <si>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</si>
  <si>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</si>
  <si>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</si>
  <si>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</si>
  <si>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</si>
  <si>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</si>
  <si>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</si>
  <si>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</si>
  <si>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</si>
  <si>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</si>
  <si>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</si>
  <si>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</si>
  <si>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</si>
  <si>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</si>
  <si>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</si>
  <si>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</si>
  <si>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</si>
  <si>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</si>
  <si>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</si>
  <si>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</si>
  <si>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</si>
  <si>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</si>
  <si>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</si>
  <si>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</si>
  <si>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</si>
  <si>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</si>
  <si>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</si>
  <si>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</si>
  <si>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</si>
  <si>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</si>
  <si>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</si>
  <si>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</si>
  <si>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</si>
  <si>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</si>
  <si>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</si>
  <si>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</si>
  <si>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</si>
  <si>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</si>
  <si>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</si>
  <si>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</si>
  <si>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</si>
  <si>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</si>
  <si>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</si>
  <si>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</si>
  <si>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</si>
  <si>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</si>
  <si>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</si>
  <si>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</si>
  <si>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</si>
  <si>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</si>
  <si>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</si>
  <si>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</si>
  <si>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</si>
  <si>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</si>
  <si>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</si>
  <si>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</si>
  <si>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</si>
  <si>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</si>
  <si>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</si>
  <si>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</si>
  <si>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</si>
  <si>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</si>
  <si>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</si>
  <si>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</si>
  <si>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</si>
  <si>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</si>
  <si>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</si>
  <si>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</si>
  <si>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</si>
  <si>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</si>
  <si>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</si>
  <si>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</si>
  <si>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</si>
  <si>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</si>
  <si>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</si>
  <si>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</si>
  <si>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</si>
  <si>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</si>
  <si>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</si>
  <si>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</si>
  <si>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</si>
  <si>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</si>
  <si>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</si>
  <si>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</si>
  <si>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</si>
  <si>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</si>
  <si>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</si>
  <si>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</si>
  <si>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</si>
  <si>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</si>
  <si>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</si>
  <si>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</si>
  <si>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</si>
  <si>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</si>
  <si>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</si>
  <si>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</si>
  <si>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</si>
  <si>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</si>
  <si>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</si>
  <si>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</si>
  <si>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</si>
  <si>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</si>
  <si>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</si>
  <si>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</si>
  <si>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</si>
  <si>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</si>
  <si>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</si>
  <si>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</si>
  <si>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</si>
  <si>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</si>
  <si>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</si>
  <si>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</si>
  <si>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</si>
  <si>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</si>
  <si>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Madison and St. Clair</t>
  </si>
  <si>
    <t>Collinsville Area Vocational Center</t>
  </si>
  <si>
    <t>2201 South Madison</t>
  </si>
  <si>
    <t>urobison@kahoks.org</t>
  </si>
  <si>
    <t>James K Torti, CPA, CFE</t>
  </si>
  <si>
    <t>11878 Gravois Road</t>
  </si>
  <si>
    <t>St. Louis</t>
  </si>
  <si>
    <t>MO</t>
  </si>
  <si>
    <t>314-849-4999</t>
  </si>
  <si>
    <t>314-849-3486</t>
  </si>
  <si>
    <t>065-023270</t>
  </si>
  <si>
    <t>jtorti@sjcpa.com</t>
  </si>
  <si>
    <t>Dr. Robert E Green</t>
  </si>
  <si>
    <t>bgreen@kahoks.org</t>
  </si>
  <si>
    <t>618-346-6350</t>
  </si>
  <si>
    <t>618-346-6357</t>
  </si>
  <si>
    <t>Schowalter &amp; Jabouri, P.C.</t>
  </si>
  <si>
    <t>Collinsville CUSD #10</t>
  </si>
  <si>
    <t>ITEMIZATION SCHEDULE</t>
  </si>
  <si>
    <t>Page 10-Line 107 - Other Local Revenue</t>
  </si>
  <si>
    <t>Collinsville</t>
  </si>
  <si>
    <t>Line 23 - An adverse opinion is issued on U.S. Generally Accepted Accounting Principles because the District has prepared these financial statements using accounting practices prescribed or permitted and the financial reporting provisions prescribed and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</si>
  <si>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Fund 20</t>
  </si>
  <si>
    <t>Fund 40</t>
  </si>
  <si>
    <t xml:space="preserve">    Tuition from Participating School Districts</t>
  </si>
  <si>
    <t>Page 7-8 On behalf of Benefits - Non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</si>
</sst>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6">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72" fillId="0" borderId="0" xfId="0" applyFont="1" applyAlignment="1">
      <alignment horizontal="center"/>
    </xf>
    <xf numFmtId="0" fontId="54" fillId="0" borderId="0" xfId="0" applyFont="1" applyAlignment="1">
      <alignment horizontal="center"/>
    </xf>
    <xf numFmtId="42" fontId="54" fillId="0" borderId="0" xfId="0" applyNumberFormat="1" applyFont="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3</xdr:row>
          <xdr:rowOff>104775</xdr:rowOff>
        </xdr:from>
        <xdr:to>
          <xdr:col>1</xdr:col>
          <xdr:colOff>1905000</xdr:colOff>
          <xdr:row>8</xdr:row>
          <xdr:rowOff>66675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42578125" style="26" customWidth="1"/>
    <col min="5" max="5" width="3" style="26" customWidth="1"/>
    <col min="6" max="6" width="7.42578125" style="26" customWidth="1"/>
    <col min="7" max="7" width="8.28515625" style="26" customWidth="1"/>
    <col min="8" max="8" width="8.85546875" style="26" customWidth="1"/>
    <col min="9" max="9" width="1.42578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35" t="s">
        <v>423</v>
      </c>
      <c r="J1" s="2036"/>
      <c r="K1" s="2036"/>
      <c r="L1" s="2036"/>
      <c r="M1" s="2036"/>
      <c r="N1" s="2036"/>
      <c r="O1" s="2036"/>
      <c r="P1" s="2036"/>
      <c r="Q1" s="2036"/>
      <c r="R1" s="2036"/>
      <c r="S1" s="2036"/>
    </row>
    <row r="2" spans="1:28" ht="12" customHeight="1" x14ac:dyDescent="0.2">
      <c r="A2" s="47" t="s">
        <v>1682</v>
      </c>
      <c r="D2" s="48"/>
      <c r="I2" s="2037" t="s">
        <v>1034</v>
      </c>
      <c r="J2" s="2036"/>
      <c r="K2" s="2036"/>
      <c r="L2" s="2036"/>
      <c r="M2" s="2036"/>
      <c r="N2" s="2036"/>
      <c r="O2" s="2036"/>
      <c r="P2" s="2036"/>
      <c r="Q2" s="2036"/>
      <c r="R2" s="2036"/>
      <c r="S2" s="2036"/>
    </row>
    <row r="3" spans="1:28" ht="12" customHeight="1" x14ac:dyDescent="0.2">
      <c r="A3" s="155" t="s">
        <v>1683</v>
      </c>
      <c r="B3" s="156"/>
      <c r="C3" s="156"/>
      <c r="D3" s="157"/>
      <c r="I3" s="2037" t="s">
        <v>54</v>
      </c>
      <c r="J3" s="2036"/>
      <c r="K3" s="2036"/>
      <c r="L3" s="2036"/>
      <c r="M3" s="2036"/>
      <c r="N3" s="2036"/>
      <c r="O3" s="2036"/>
      <c r="P3" s="2036"/>
      <c r="Q3" s="2036"/>
      <c r="R3" s="2036"/>
      <c r="S3" s="2036"/>
    </row>
    <row r="4" spans="1:28" ht="12" customHeight="1" x14ac:dyDescent="0.2">
      <c r="A4" s="37"/>
      <c r="I4" s="2037" t="s">
        <v>543</v>
      </c>
      <c r="J4" s="2036"/>
      <c r="K4" s="2036"/>
      <c r="L4" s="2036"/>
      <c r="M4" s="2036"/>
      <c r="N4" s="2036"/>
      <c r="O4" s="2036"/>
      <c r="P4" s="2036"/>
      <c r="Q4" s="2036"/>
      <c r="R4" s="2036"/>
      <c r="S4" s="2036"/>
    </row>
    <row r="5" spans="1:28" ht="14.1" customHeight="1" x14ac:dyDescent="0.2">
      <c r="B5" s="104"/>
      <c r="C5" s="26" t="s">
        <v>964</v>
      </c>
      <c r="D5" s="84"/>
      <c r="E5" s="84"/>
      <c r="H5" s="38"/>
      <c r="I5" s="2044" t="s">
        <v>699</v>
      </c>
      <c r="J5" s="1989"/>
      <c r="K5" s="1989"/>
      <c r="L5" s="1989"/>
      <c r="M5" s="1989"/>
      <c r="N5" s="1989"/>
      <c r="O5" s="1989"/>
      <c r="P5" s="1989"/>
      <c r="Q5" s="1989"/>
      <c r="R5" s="1989"/>
      <c r="S5" s="1989"/>
    </row>
    <row r="6" spans="1:28" ht="14.1" customHeight="1" x14ac:dyDescent="0.2">
      <c r="B6" s="104" t="s">
        <v>2075</v>
      </c>
      <c r="C6" s="26" t="s">
        <v>965</v>
      </c>
      <c r="D6" s="84"/>
      <c r="E6" s="84"/>
      <c r="I6" s="2043" t="s">
        <v>936</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693</v>
      </c>
      <c r="J9" s="2041"/>
      <c r="K9" s="2041"/>
      <c r="L9" s="2041"/>
      <c r="M9" s="2041"/>
      <c r="N9" s="2041"/>
      <c r="O9" s="2041"/>
      <c r="P9" s="2041"/>
      <c r="Q9" s="2041"/>
      <c r="R9" s="2041"/>
      <c r="S9" s="2042"/>
      <c r="T9" s="1985" t="s">
        <v>552</v>
      </c>
      <c r="U9" s="1986"/>
      <c r="V9" s="1986"/>
      <c r="W9" s="1986"/>
      <c r="X9" s="1986"/>
      <c r="Y9" s="1986"/>
      <c r="Z9" s="1986"/>
      <c r="AA9" s="1987"/>
    </row>
    <row r="10" spans="1:28" ht="13.7" customHeight="1" x14ac:dyDescent="0.2">
      <c r="A10" s="1994" t="s">
        <v>694</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1010</v>
      </c>
      <c r="B11" s="1998"/>
      <c r="C11" s="1998"/>
      <c r="D11" s="1998"/>
      <c r="E11" s="1998"/>
      <c r="F11" s="1998"/>
      <c r="G11" s="1998"/>
      <c r="H11" s="1999"/>
      <c r="I11" s="27"/>
      <c r="J11" s="74"/>
      <c r="K11" s="27"/>
      <c r="O11" s="148" t="s">
        <v>2075</v>
      </c>
      <c r="P11" s="100" t="s">
        <v>210</v>
      </c>
      <c r="Q11" s="30"/>
      <c r="R11" s="28"/>
      <c r="S11" s="27"/>
      <c r="T11" s="1991"/>
      <c r="U11" s="1992"/>
      <c r="V11" s="1992"/>
      <c r="W11" s="1992"/>
      <c r="X11" s="1992"/>
      <c r="Y11" s="1992"/>
      <c r="Z11" s="1992"/>
      <c r="AA11" s="1993"/>
    </row>
    <row r="12" spans="1:28" ht="13.7"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7" customHeight="1" x14ac:dyDescent="0.2">
      <c r="A13" s="2005">
        <v>41057010041</v>
      </c>
      <c r="B13" s="2006"/>
      <c r="C13" s="2006"/>
      <c r="D13" s="2006"/>
      <c r="E13" s="2006"/>
      <c r="F13" s="2006"/>
      <c r="G13" s="2006"/>
      <c r="H13" s="2007"/>
      <c r="I13" s="31"/>
      <c r="J13" s="30"/>
      <c r="K13" s="28"/>
      <c r="L13" s="30"/>
      <c r="M13" s="30"/>
      <c r="N13" s="30"/>
      <c r="O13" s="30"/>
      <c r="P13" s="30"/>
      <c r="Q13" s="30"/>
      <c r="R13" s="30"/>
      <c r="S13" s="30"/>
      <c r="T13" s="2010" t="s">
        <v>2092</v>
      </c>
      <c r="U13" s="2011"/>
      <c r="V13" s="2011"/>
      <c r="W13" s="2011"/>
      <c r="X13" s="2011"/>
      <c r="Y13" s="2012"/>
      <c r="Z13" s="2012"/>
      <c r="AA13" s="2013"/>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7" customHeight="1" x14ac:dyDescent="0.2">
      <c r="A15" s="2003" t="s">
        <v>2076</v>
      </c>
      <c r="B15" s="2008"/>
      <c r="C15" s="2008"/>
      <c r="D15" s="2008"/>
      <c r="E15" s="2008"/>
      <c r="F15" s="2008"/>
      <c r="G15" s="2008"/>
      <c r="H15" s="2009"/>
      <c r="T15" s="1971" t="s">
        <v>2080</v>
      </c>
      <c r="U15" s="1972"/>
      <c r="V15" s="1972"/>
      <c r="W15" s="1972"/>
      <c r="X15" s="1972"/>
      <c r="Y15" s="2014"/>
      <c r="Z15" s="2014"/>
      <c r="AA15" s="2015"/>
    </row>
    <row r="16" spans="1:28" ht="13.7"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7" customHeight="1" x14ac:dyDescent="0.2">
      <c r="A17" s="1963" t="s">
        <v>2077</v>
      </c>
      <c r="B17" s="2033"/>
      <c r="C17" s="2033"/>
      <c r="D17" s="2033"/>
      <c r="E17" s="2033"/>
      <c r="F17" s="2033"/>
      <c r="G17" s="2033"/>
      <c r="H17" s="2034"/>
      <c r="T17" s="2020" t="s">
        <v>2081</v>
      </c>
      <c r="U17" s="2021"/>
      <c r="V17" s="2021"/>
      <c r="W17" s="2021"/>
      <c r="X17" s="2021"/>
      <c r="Y17" s="2021"/>
      <c r="Z17" s="2021"/>
      <c r="AA17" s="2022"/>
    </row>
    <row r="18" spans="1:27" ht="13.7" customHeight="1" x14ac:dyDescent="0.2">
      <c r="A18" s="85" t="s">
        <v>549</v>
      </c>
      <c r="B18" s="76"/>
      <c r="C18" s="72"/>
      <c r="D18" s="76"/>
      <c r="E18" s="76"/>
      <c r="F18" s="76"/>
      <c r="G18" s="76"/>
      <c r="H18" s="56"/>
      <c r="I18" s="2030" t="s">
        <v>695</v>
      </c>
      <c r="J18" s="2031"/>
      <c r="K18" s="2031"/>
      <c r="L18" s="2031"/>
      <c r="M18" s="2031"/>
      <c r="N18" s="2031"/>
      <c r="O18" s="2031"/>
      <c r="P18" s="2031"/>
      <c r="Q18" s="2031"/>
      <c r="R18" s="2031"/>
      <c r="S18" s="2032"/>
      <c r="T18" s="85" t="s">
        <v>733</v>
      </c>
      <c r="U18" s="51"/>
      <c r="V18" s="72"/>
      <c r="W18" s="50"/>
      <c r="X18" s="85" t="s">
        <v>282</v>
      </c>
      <c r="Y18" s="81"/>
      <c r="Z18" s="159" t="s">
        <v>696</v>
      </c>
      <c r="AA18" s="46"/>
    </row>
    <row r="19" spans="1:27" ht="13.7" customHeight="1" x14ac:dyDescent="0.2">
      <c r="A19" s="2003" t="s">
        <v>2078</v>
      </c>
      <c r="B19" s="2004"/>
      <c r="C19" s="2004"/>
      <c r="D19" s="2004"/>
      <c r="E19" s="2004"/>
      <c r="F19" s="2004"/>
      <c r="G19" s="2004"/>
      <c r="H19" s="2002"/>
      <c r="I19" s="30"/>
      <c r="J19" s="99"/>
      <c r="K19" s="40"/>
      <c r="L19" s="38"/>
      <c r="M19" s="112" t="s">
        <v>331</v>
      </c>
      <c r="P19" s="27"/>
      <c r="Q19" s="27"/>
      <c r="R19" s="27"/>
      <c r="S19" s="31"/>
      <c r="T19" s="2003" t="s">
        <v>2082</v>
      </c>
      <c r="U19" s="2001"/>
      <c r="V19" s="2001"/>
      <c r="W19" s="2002"/>
      <c r="X19" s="2018" t="s">
        <v>2083</v>
      </c>
      <c r="Y19" s="2019"/>
      <c r="Z19" s="2016">
        <v>63127</v>
      </c>
      <c r="AA19" s="2017"/>
    </row>
    <row r="20" spans="1:27" ht="13.7"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7" customHeight="1" x14ac:dyDescent="0.2">
      <c r="A21" s="2000" t="s">
        <v>2096</v>
      </c>
      <c r="B21" s="2001"/>
      <c r="C21" s="2001"/>
      <c r="D21" s="2001"/>
      <c r="E21" s="2001"/>
      <c r="F21" s="2001"/>
      <c r="G21" s="2001"/>
      <c r="H21" s="2002"/>
      <c r="I21" s="2026" t="s">
        <v>697</v>
      </c>
      <c r="J21" s="1989"/>
      <c r="K21" s="1989"/>
      <c r="L21" s="1989"/>
      <c r="M21" s="1989"/>
      <c r="N21" s="1989"/>
      <c r="O21" s="1989"/>
      <c r="P21" s="1989"/>
      <c r="Q21" s="1989"/>
      <c r="R21" s="1989"/>
      <c r="S21" s="1990"/>
      <c r="T21" s="1968" t="s">
        <v>2084</v>
      </c>
      <c r="U21" s="1969"/>
      <c r="V21" s="1969"/>
      <c r="W21" s="1969"/>
      <c r="X21" s="1982" t="s">
        <v>2085</v>
      </c>
      <c r="Y21" s="1983"/>
      <c r="Z21" s="1983"/>
      <c r="AA21" s="1984"/>
    </row>
    <row r="22" spans="1:27" ht="13.7" customHeight="1" x14ac:dyDescent="0.2">
      <c r="A22" s="87" t="s">
        <v>550</v>
      </c>
      <c r="B22" s="59"/>
      <c r="C22" s="59"/>
      <c r="D22" s="59"/>
      <c r="E22" s="59"/>
      <c r="F22" s="59"/>
      <c r="G22" s="59"/>
      <c r="H22" s="60"/>
      <c r="I22" s="2027" t="s">
        <v>1502</v>
      </c>
      <c r="J22" s="2028"/>
      <c r="K22" s="2028"/>
      <c r="L22" s="2028"/>
      <c r="M22" s="2028"/>
      <c r="N22" s="2028"/>
      <c r="O22" s="2028"/>
      <c r="P22" s="2028"/>
      <c r="Q22" s="2028"/>
      <c r="R22" s="2028"/>
      <c r="S22" s="2029"/>
      <c r="T22" s="85" t="s">
        <v>1594</v>
      </c>
      <c r="U22" s="51"/>
      <c r="V22" s="72"/>
      <c r="W22" s="51"/>
      <c r="X22" s="160" t="s">
        <v>1383</v>
      </c>
      <c r="Z22" s="45"/>
      <c r="AA22" s="46"/>
    </row>
    <row r="23" spans="1:27" ht="13.7" customHeight="1" x14ac:dyDescent="0.2">
      <c r="A23" s="2023" t="s">
        <v>2079</v>
      </c>
      <c r="B23" s="2024"/>
      <c r="C23" s="2024"/>
      <c r="D23" s="2024"/>
      <c r="E23" s="2024"/>
      <c r="F23" s="2024"/>
      <c r="G23" s="2024"/>
      <c r="H23" s="2025"/>
      <c r="T23" s="1963" t="s">
        <v>2086</v>
      </c>
      <c r="U23" s="1964"/>
      <c r="V23" s="1964"/>
      <c r="W23" s="1964"/>
      <c r="X23" s="1979">
        <v>44469</v>
      </c>
      <c r="Y23" s="1980"/>
      <c r="Z23" s="1980"/>
      <c r="AA23" s="1981"/>
    </row>
    <row r="24" spans="1:27" ht="14.1" customHeight="1" x14ac:dyDescent="0.2">
      <c r="A24" s="88" t="s">
        <v>696</v>
      </c>
      <c r="B24" s="49"/>
      <c r="C24" s="49"/>
      <c r="D24" s="49"/>
      <c r="E24" s="49"/>
      <c r="F24" s="49"/>
      <c r="G24" s="49"/>
      <c r="H24" s="61"/>
      <c r="J24" s="2065" t="str">
        <f>IF(B5="x",IF(AUDITCHECK!D29="AFR form Incomplete.","",IF(AUDITCHECK!D29="Deficit reduction plan is required.","School District must complete a deficit reduction plan in the 2018-2019 Budget",)),"")</f>
        <v/>
      </c>
      <c r="K24" s="2065"/>
      <c r="L24" s="2065"/>
      <c r="M24" s="2065"/>
      <c r="N24" s="2065"/>
      <c r="O24" s="2065"/>
      <c r="P24" s="2065"/>
      <c r="Q24" s="2065"/>
      <c r="R24" s="2065"/>
      <c r="S24" s="2066"/>
      <c r="T24" s="105" t="s">
        <v>550</v>
      </c>
      <c r="U24" s="106"/>
      <c r="V24" s="106"/>
      <c r="W24" s="106"/>
      <c r="X24" s="107"/>
      <c r="Y24" s="107"/>
      <c r="Z24" s="107"/>
      <c r="AA24" s="108"/>
    </row>
    <row r="25" spans="1:27" ht="14.1" customHeight="1" x14ac:dyDescent="0.2">
      <c r="A25" s="2000">
        <v>62234</v>
      </c>
      <c r="B25" s="2001"/>
      <c r="C25" s="2001"/>
      <c r="D25" s="2001"/>
      <c r="E25" s="2001"/>
      <c r="F25" s="2001"/>
      <c r="G25" s="2001"/>
      <c r="H25" s="2002"/>
      <c r="I25" s="113"/>
      <c r="J25" s="2067"/>
      <c r="K25" s="2067"/>
      <c r="L25" s="2067"/>
      <c r="M25" s="2067"/>
      <c r="N25" s="2067"/>
      <c r="O25" s="2067"/>
      <c r="P25" s="2067"/>
      <c r="Q25" s="2067"/>
      <c r="R25" s="2067"/>
      <c r="S25" s="2068"/>
      <c r="T25" s="1960" t="s">
        <v>2087</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58" t="s">
        <v>1589</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7"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7"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7" customHeight="1" x14ac:dyDescent="0.2">
      <c r="A35" s="54"/>
      <c r="B35" s="30"/>
      <c r="C35" s="30"/>
      <c r="D35" s="34"/>
      <c r="E35" s="34"/>
      <c r="F35" s="34"/>
      <c r="G35" s="34"/>
      <c r="H35" s="34"/>
      <c r="I35" s="54"/>
      <c r="J35" s="33"/>
      <c r="L35" s="32" t="s">
        <v>730</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7"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7" customHeight="1" x14ac:dyDescent="0.2">
      <c r="A38" s="1963" t="s">
        <v>2088</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550</v>
      </c>
      <c r="B39" s="2057"/>
      <c r="C39" s="72"/>
      <c r="D39" s="69"/>
      <c r="E39" s="69"/>
      <c r="F39" s="79"/>
      <c r="G39" s="69"/>
      <c r="H39" s="56"/>
      <c r="I39" s="2056" t="s">
        <v>550</v>
      </c>
      <c r="J39" s="2057"/>
      <c r="K39" s="2057"/>
      <c r="L39" s="2057"/>
      <c r="M39" s="2057"/>
      <c r="N39" s="67"/>
      <c r="O39" s="72"/>
      <c r="P39" s="72"/>
      <c r="Q39" s="78"/>
      <c r="R39" s="72"/>
      <c r="S39" s="56"/>
      <c r="T39" s="72" t="s">
        <v>550</v>
      </c>
      <c r="U39" s="51"/>
      <c r="V39" s="72"/>
      <c r="W39" s="50"/>
      <c r="X39" s="78"/>
      <c r="Y39" s="45"/>
      <c r="Z39" s="45"/>
      <c r="AA39" s="46"/>
    </row>
    <row r="40" spans="1:27" ht="13.7" customHeight="1" x14ac:dyDescent="0.2">
      <c r="A40" s="2059" t="s">
        <v>2089</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7" customHeight="1" x14ac:dyDescent="0.2">
      <c r="A42" s="2049" t="s">
        <v>2090</v>
      </c>
      <c r="B42" s="2050"/>
      <c r="C42" s="2051"/>
      <c r="D42" s="2064" t="s">
        <v>2091</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7"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7"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42578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1968</v>
      </c>
      <c r="C4" s="162" t="s">
        <v>1229</v>
      </c>
      <c r="D4" s="169" t="s">
        <v>10</v>
      </c>
      <c r="E4" s="170" t="s">
        <v>22</v>
      </c>
    </row>
    <row r="5" spans="1:5" x14ac:dyDescent="0.2">
      <c r="A5" s="168" t="s">
        <v>1970</v>
      </c>
      <c r="C5" s="162" t="s">
        <v>1229</v>
      </c>
      <c r="D5" s="169" t="s">
        <v>10</v>
      </c>
      <c r="E5" s="170" t="s">
        <v>22</v>
      </c>
    </row>
    <row r="6" spans="1:5" x14ac:dyDescent="0.2">
      <c r="A6" s="168" t="s">
        <v>1969</v>
      </c>
      <c r="C6" s="162" t="s">
        <v>1229</v>
      </c>
      <c r="D6" s="167" t="s">
        <v>11</v>
      </c>
      <c r="E6" s="170" t="s">
        <v>996</v>
      </c>
    </row>
    <row r="7" spans="1:5" x14ac:dyDescent="0.2">
      <c r="A7" s="168" t="s">
        <v>1971</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1972</v>
      </c>
      <c r="C11" s="162" t="s">
        <v>1229</v>
      </c>
      <c r="D11" s="169" t="s">
        <v>14</v>
      </c>
      <c r="E11" s="170" t="s">
        <v>1216</v>
      </c>
    </row>
    <row r="12" spans="1:5" x14ac:dyDescent="0.2">
      <c r="B12" s="169" t="s">
        <v>1973</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1974</v>
      </c>
      <c r="C15" s="162" t="s">
        <v>1229</v>
      </c>
      <c r="D15" s="169" t="s">
        <v>17</v>
      </c>
      <c r="E15" s="170" t="s">
        <v>655</v>
      </c>
    </row>
    <row r="16" spans="1:5" x14ac:dyDescent="0.2">
      <c r="A16" s="172"/>
      <c r="B16" s="162" t="s">
        <v>1975</v>
      </c>
      <c r="C16" s="162" t="s">
        <v>1229</v>
      </c>
      <c r="D16" s="169" t="s">
        <v>700</v>
      </c>
      <c r="E16" s="170" t="s">
        <v>1098</v>
      </c>
    </row>
    <row r="17" spans="1:5" x14ac:dyDescent="0.2">
      <c r="B17" s="167" t="s">
        <v>1043</v>
      </c>
      <c r="C17" s="162" t="s">
        <v>1229</v>
      </c>
    </row>
    <row r="18" spans="1:5" x14ac:dyDescent="0.2">
      <c r="B18" s="167" t="s">
        <v>1981</v>
      </c>
      <c r="D18" s="169" t="s">
        <v>18</v>
      </c>
      <c r="E18" s="170" t="s">
        <v>1099</v>
      </c>
    </row>
    <row r="19" spans="1:5" x14ac:dyDescent="0.2">
      <c r="A19" s="168" t="s">
        <v>1159</v>
      </c>
      <c r="C19" s="162" t="s">
        <v>1229</v>
      </c>
      <c r="D19" s="169"/>
      <c r="E19" s="171"/>
    </row>
    <row r="20" spans="1:5" x14ac:dyDescent="0.2">
      <c r="B20" s="167" t="s">
        <v>1976</v>
      </c>
      <c r="C20" s="162" t="s">
        <v>1229</v>
      </c>
      <c r="D20" s="169" t="s">
        <v>19</v>
      </c>
      <c r="E20" s="170" t="s">
        <v>53</v>
      </c>
    </row>
    <row r="21" spans="1:5" x14ac:dyDescent="0.2">
      <c r="B21" s="167" t="s">
        <v>1977</v>
      </c>
      <c r="C21" s="162" t="s">
        <v>1229</v>
      </c>
      <c r="D21" s="169" t="s">
        <v>20</v>
      </c>
      <c r="E21" s="170" t="s">
        <v>1706</v>
      </c>
    </row>
    <row r="22" spans="1:5" x14ac:dyDescent="0.2">
      <c r="A22" s="168"/>
      <c r="B22" s="162" t="s">
        <v>1965</v>
      </c>
      <c r="C22" s="162" t="s">
        <v>1229</v>
      </c>
      <c r="D22" s="167" t="s">
        <v>1967</v>
      </c>
      <c r="E22" s="1859" t="s">
        <v>1707</v>
      </c>
    </row>
    <row r="23" spans="1:5" x14ac:dyDescent="0.2">
      <c r="A23" s="168"/>
      <c r="B23" s="162" t="s">
        <v>1966</v>
      </c>
      <c r="D23" s="167" t="s">
        <v>656</v>
      </c>
      <c r="E23" s="1859" t="s">
        <v>1014</v>
      </c>
    </row>
    <row r="24" spans="1:5" x14ac:dyDescent="0.2">
      <c r="A24" s="168" t="s">
        <v>1705</v>
      </c>
      <c r="C24" s="162" t="s">
        <v>1229</v>
      </c>
      <c r="D24" s="167" t="s">
        <v>1458</v>
      </c>
      <c r="E24" s="170" t="s">
        <v>1015</v>
      </c>
    </row>
    <row r="25" spans="1:5" x14ac:dyDescent="0.2">
      <c r="A25" s="168" t="s">
        <v>1978</v>
      </c>
      <c r="C25" s="162" t="s">
        <v>1229</v>
      </c>
      <c r="D25" s="169" t="s">
        <v>21</v>
      </c>
      <c r="E25" s="170" t="s">
        <v>1100</v>
      </c>
    </row>
    <row r="26" spans="1:5" x14ac:dyDescent="0.2">
      <c r="A26" s="168" t="s">
        <v>1979</v>
      </c>
      <c r="C26" s="162" t="s">
        <v>1229</v>
      </c>
      <c r="D26" s="169" t="s">
        <v>582</v>
      </c>
      <c r="E26" s="170" t="s">
        <v>1101</v>
      </c>
    </row>
    <row r="27" spans="1:5" x14ac:dyDescent="0.2">
      <c r="A27" s="168" t="s">
        <v>1980</v>
      </c>
      <c r="C27" s="162" t="s">
        <v>1229</v>
      </c>
      <c r="D27" s="169" t="s">
        <v>576</v>
      </c>
      <c r="E27" s="170" t="s">
        <v>702</v>
      </c>
    </row>
    <row r="28" spans="1:5" x14ac:dyDescent="0.2">
      <c r="A28" s="168" t="s">
        <v>1982</v>
      </c>
      <c r="D28" s="169" t="s">
        <v>703</v>
      </c>
      <c r="E28" s="170" t="s">
        <v>1431</v>
      </c>
    </row>
    <row r="29" spans="1:5" x14ac:dyDescent="0.2">
      <c r="A29" s="168" t="s">
        <v>1983</v>
      </c>
      <c r="D29" s="169" t="s">
        <v>1459</v>
      </c>
      <c r="E29" s="170" t="s">
        <v>1440</v>
      </c>
    </row>
    <row r="30" spans="1:5" x14ac:dyDescent="0.2">
      <c r="A30" s="173" t="s">
        <v>1984</v>
      </c>
      <c r="C30" s="162" t="s">
        <v>1229</v>
      </c>
      <c r="D30" s="169" t="s">
        <v>42</v>
      </c>
      <c r="E30" s="170" t="s">
        <v>1037</v>
      </c>
    </row>
    <row r="31" spans="1:5" x14ac:dyDescent="0.2">
      <c r="A31" s="168" t="s">
        <v>1600</v>
      </c>
      <c r="C31" s="162" t="s">
        <v>1229</v>
      </c>
      <c r="D31" s="167"/>
      <c r="E31" s="171"/>
    </row>
    <row r="32" spans="1:5" x14ac:dyDescent="0.2">
      <c r="B32" s="167" t="s">
        <v>1985</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2" t="s">
        <v>1123</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713</v>
      </c>
      <c r="B40" s="2069"/>
      <c r="C40" s="2069"/>
      <c r="D40" s="2069"/>
      <c r="E40" s="2069"/>
    </row>
    <row r="41" spans="1:5" x14ac:dyDescent="0.2">
      <c r="A41" s="2070" t="s">
        <v>1704</v>
      </c>
      <c r="B41" s="2070"/>
      <c r="C41" s="2070"/>
      <c r="D41" s="2070"/>
      <c r="E41" s="2070"/>
    </row>
    <row r="42" spans="1:5" ht="12.75" customHeight="1" x14ac:dyDescent="0.2">
      <c r="A42" s="2071" t="s">
        <v>1078</v>
      </c>
      <c r="B42" s="2071"/>
      <c r="C42" s="2071"/>
      <c r="D42" s="2071"/>
      <c r="E42" s="2071"/>
    </row>
    <row r="43" spans="1:5" ht="6.75" customHeight="1" x14ac:dyDescent="0.2">
      <c r="A43" s="167"/>
      <c r="B43" s="176"/>
    </row>
    <row r="44" spans="1:5" x14ac:dyDescent="0.2">
      <c r="A44" s="185" t="s">
        <v>1038</v>
      </c>
      <c r="B44" s="186" t="s">
        <v>2015</v>
      </c>
    </row>
    <row r="45" spans="1:5" ht="6.75" customHeight="1" x14ac:dyDescent="0.2">
      <c r="A45" s="187"/>
      <c r="B45" s="186"/>
    </row>
    <row r="46" spans="1:5" x14ac:dyDescent="0.2">
      <c r="A46" s="185" t="s">
        <v>1039</v>
      </c>
      <c r="B46" s="169" t="s">
        <v>1709</v>
      </c>
    </row>
    <row r="47" spans="1:5" ht="9.9499999999999993" customHeight="1" x14ac:dyDescent="0.2">
      <c r="A47" s="189"/>
      <c r="B47" s="188"/>
    </row>
    <row r="48" spans="1:5" x14ac:dyDescent="0.2">
      <c r="A48" s="169" t="s">
        <v>1708</v>
      </c>
      <c r="B48" s="169" t="s">
        <v>1713</v>
      </c>
      <c r="C48" s="177"/>
    </row>
    <row r="49" spans="1:3" ht="9.9499999999999993"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7"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7"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3" colorId="8" zoomScale="110" zoomScaleNormal="110" workbookViewId="0">
      <selection activeCell="B68" sqref="B68"/>
    </sheetView>
  </sheetViews>
  <sheetFormatPr defaultColWidth="9.140625" defaultRowHeight="12.75" x14ac:dyDescent="0.2"/>
  <cols>
    <col min="1" max="1" width="1.42578125" style="202" customWidth="1"/>
    <col min="2" max="2" width="2.85546875" style="203" customWidth="1"/>
    <col min="3" max="3" width="4.140625" style="204" customWidth="1"/>
    <col min="4" max="4" width="40" style="202" customWidth="1"/>
    <col min="5" max="6" width="12.42578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1228</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7" t="s">
        <v>1729</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329</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2075</v>
      </c>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2097</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1388</v>
      </c>
      <c r="B70" s="2090"/>
      <c r="C70" s="2090"/>
      <c r="D70" s="2090"/>
      <c r="E70" s="2091"/>
      <c r="F70" s="2091"/>
      <c r="G70" s="2091"/>
      <c r="H70" s="2091"/>
      <c r="I70" s="2091"/>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95" customHeight="1" x14ac:dyDescent="0.2">
      <c r="A76" s="239" t="s">
        <v>1496</v>
      </c>
      <c r="B76" s="255"/>
      <c r="C76" s="256"/>
      <c r="D76" s="256"/>
      <c r="E76" s="256"/>
      <c r="F76" s="256"/>
      <c r="G76" s="256"/>
      <c r="H76" s="256"/>
    </row>
    <row r="77" spans="1:10" s="181" customFormat="1" x14ac:dyDescent="0.2">
      <c r="C77" s="179">
        <v>24</v>
      </c>
      <c r="D77" s="247" t="s">
        <v>1743</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1385</v>
      </c>
      <c r="B83" s="2092"/>
      <c r="C83" s="2092"/>
      <c r="D83" s="2093"/>
      <c r="E83" s="263" t="s">
        <v>1422</v>
      </c>
      <c r="F83" s="263" t="s">
        <v>1423</v>
      </c>
      <c r="G83" s="263" t="s">
        <v>1424</v>
      </c>
      <c r="H83" s="263" t="s">
        <v>1425</v>
      </c>
      <c r="I83" s="263" t="s">
        <v>1426</v>
      </c>
      <c r="J83" s="264" t="s">
        <v>158</v>
      </c>
    </row>
    <row r="84" spans="1:10" s="181" customFormat="1" ht="13.7" customHeight="1" thickTop="1" x14ac:dyDescent="0.2">
      <c r="A84" s="265" t="s">
        <v>1517</v>
      </c>
      <c r="B84" s="266"/>
      <c r="C84" s="267"/>
      <c r="D84" s="268"/>
      <c r="E84" s="269"/>
      <c r="F84" s="269"/>
      <c r="G84" s="269"/>
      <c r="H84" s="269"/>
      <c r="I84" s="269"/>
      <c r="J84" s="270"/>
    </row>
    <row r="85" spans="1:10" s="181" customFormat="1" ht="13.7" customHeight="1" x14ac:dyDescent="0.2">
      <c r="A85" s="271" t="s">
        <v>2065</v>
      </c>
      <c r="B85" s="272"/>
      <c r="C85" s="273"/>
      <c r="D85" s="274"/>
      <c r="E85" s="275"/>
      <c r="F85" s="276"/>
      <c r="G85" s="276"/>
      <c r="H85" s="276"/>
      <c r="I85" s="276"/>
      <c r="J85" s="277">
        <f>SUM(E85:I85)</f>
        <v>0</v>
      </c>
    </row>
    <row r="86" spans="1:10" s="181" customFormat="1" ht="13.7" customHeight="1" x14ac:dyDescent="0.2">
      <c r="A86" s="278"/>
      <c r="B86" s="279"/>
      <c r="C86" s="280"/>
      <c r="D86" s="281"/>
      <c r="E86" s="269"/>
      <c r="F86" s="269"/>
      <c r="G86" s="269"/>
      <c r="H86" s="269"/>
      <c r="I86" s="269"/>
      <c r="J86" s="270"/>
    </row>
    <row r="87" spans="1:10" s="181" customFormat="1" ht="13.7" customHeight="1" x14ac:dyDescent="0.2">
      <c r="A87" s="282" t="s">
        <v>1386</v>
      </c>
      <c r="B87" s="283"/>
      <c r="C87" s="284"/>
      <c r="D87" s="281"/>
      <c r="E87" s="269"/>
      <c r="F87" s="269"/>
      <c r="G87" s="269"/>
      <c r="H87" s="269"/>
      <c r="I87" s="269"/>
      <c r="J87" s="270"/>
    </row>
    <row r="88" spans="1:10" s="181" customFormat="1" ht="13.7" customHeight="1" x14ac:dyDescent="0.2">
      <c r="A88" s="285" t="s">
        <v>2065</v>
      </c>
      <c r="B88" s="286"/>
      <c r="C88" s="287"/>
      <c r="D88" s="288"/>
      <c r="E88" s="276"/>
      <c r="F88" s="276"/>
      <c r="G88" s="276"/>
      <c r="H88" s="276"/>
      <c r="I88" s="276"/>
      <c r="J88" s="277">
        <f>SUM(E88:I88)</f>
        <v>0</v>
      </c>
    </row>
    <row r="89" spans="1:10" s="181" customFormat="1" ht="13.7" customHeight="1" x14ac:dyDescent="0.2">
      <c r="A89" s="289"/>
      <c r="B89" s="290"/>
      <c r="C89" s="291"/>
      <c r="D89" s="288"/>
      <c r="E89" s="276"/>
      <c r="F89" s="276"/>
      <c r="G89" s="276"/>
      <c r="H89" s="276"/>
      <c r="I89" s="276"/>
      <c r="J89" s="292"/>
    </row>
    <row r="90" spans="1:10" s="181" customFormat="1" ht="13.7"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2092</v>
      </c>
      <c r="D114" s="2083"/>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1395</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19" right="0.16" top="0.39" bottom="0.33" header="0.19" footer="0.4"/>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402</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5" customHeight="1" x14ac:dyDescent="0.2">
      <c r="B7" s="222"/>
      <c r="C7" s="222"/>
      <c r="D7" s="344" t="s">
        <v>1745</v>
      </c>
      <c r="E7" s="222"/>
      <c r="F7" s="351" t="s">
        <v>288</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5" customHeight="1" x14ac:dyDescent="0.2">
      <c r="A10" s="344" t="s">
        <v>984</v>
      </c>
      <c r="C10" s="222"/>
      <c r="D10" s="355"/>
      <c r="E10" s="356" t="s">
        <v>1060</v>
      </c>
      <c r="F10" s="355"/>
      <c r="G10" s="356" t="s">
        <v>1060</v>
      </c>
      <c r="H10" s="355"/>
      <c r="I10" s="356" t="s">
        <v>1061</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5" customHeight="1" x14ac:dyDescent="0.2">
      <c r="A16" s="349"/>
      <c r="B16" s="222"/>
      <c r="C16" s="222"/>
      <c r="D16" s="1755">
        <f>SUM('Acct Summary 7-8'!C8,'Acct Summary 7-8'!D8,'Acct Summary 7-8'!F8,'Acct Summary 7-8'!I8)</f>
        <v>958500</v>
      </c>
      <c r="E16" s="356"/>
      <c r="F16" s="1755">
        <f>SUM('Acct Summary 7-8'!C17,'Acct Summary 7-8'!D17,'Acct Summary 7-8'!F17)</f>
        <v>887081</v>
      </c>
      <c r="G16" s="356"/>
      <c r="H16" s="1755">
        <f>SUM(D16-F16)</f>
        <v>71419</v>
      </c>
      <c r="I16" s="222"/>
      <c r="J16" s="1755">
        <f>SUM('Acct Summary 7-8'!C81,'Acct Summary 7-8'!D81,'Acct Summary 7-8'!F81,'Acct Summary 7-8'!I81)</f>
        <v>398701</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5" customHeight="1" x14ac:dyDescent="0.2">
      <c r="B31" s="366"/>
      <c r="C31" s="367" t="s">
        <v>605</v>
      </c>
      <c r="D31" s="237" t="s">
        <v>1130</v>
      </c>
      <c r="E31" s="222"/>
      <c r="F31" s="222"/>
      <c r="G31" s="363"/>
      <c r="H31" s="1757" t="str">
        <f>IF(B31="X",(J7*0.069),IF(B32="X",(J7*0.138),"Enter x in a.or b."))</f>
        <v>Enter x in a.or b.</v>
      </c>
      <c r="I31" s="368"/>
      <c r="J31" s="222"/>
      <c r="K31" s="222"/>
      <c r="L31" s="222"/>
      <c r="M31" s="222"/>
    </row>
    <row r="32" spans="1:13" ht="1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7" customHeight="1" x14ac:dyDescent="0.2">
      <c r="B36" s="222"/>
      <c r="C36" s="374" t="s">
        <v>607</v>
      </c>
      <c r="D36" s="247" t="s">
        <v>0</v>
      </c>
      <c r="E36" s="222"/>
      <c r="F36" s="222"/>
      <c r="G36" s="375" t="s">
        <v>406</v>
      </c>
      <c r="H36" s="376"/>
      <c r="I36" s="222"/>
      <c r="J36" s="222"/>
      <c r="K36" s="222"/>
      <c r="L36" s="222"/>
      <c r="M36" s="222"/>
    </row>
    <row r="37" spans="1:13" ht="13.7" customHeight="1" x14ac:dyDescent="0.2">
      <c r="B37" s="222"/>
      <c r="C37" s="374"/>
      <c r="D37" s="247" t="s">
        <v>1195</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7"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7" customHeight="1" x14ac:dyDescent="0.2">
      <c r="B45" s="378"/>
      <c r="C45" s="225" t="s">
        <v>397</v>
      </c>
      <c r="E45" s="222"/>
      <c r="F45" s="222"/>
      <c r="G45" s="222"/>
      <c r="H45" s="222"/>
      <c r="I45" s="222"/>
      <c r="J45" s="222"/>
      <c r="K45" s="222"/>
      <c r="L45" s="222"/>
      <c r="M45" s="222"/>
    </row>
    <row r="46" spans="1:13" ht="13.7" customHeight="1" x14ac:dyDescent="0.2">
      <c r="B46" s="378"/>
      <c r="C46" s="225" t="s">
        <v>916</v>
      </c>
      <c r="E46" s="222"/>
      <c r="F46" s="222"/>
      <c r="G46" s="222"/>
      <c r="H46" s="222"/>
      <c r="I46" s="222"/>
      <c r="J46" s="222"/>
      <c r="K46" s="222"/>
      <c r="L46" s="222"/>
      <c r="M46" s="222"/>
    </row>
    <row r="47" spans="1:13" ht="13.7" customHeight="1" x14ac:dyDescent="0.2">
      <c r="B47" s="378"/>
      <c r="C47" s="225" t="s">
        <v>57</v>
      </c>
      <c r="E47" s="222"/>
      <c r="F47" s="222"/>
      <c r="G47" s="222"/>
      <c r="H47" s="222"/>
      <c r="I47" s="222"/>
      <c r="J47" s="222"/>
      <c r="K47" s="222"/>
      <c r="L47" s="222"/>
      <c r="M47" s="222"/>
    </row>
    <row r="48" spans="1:13" ht="13.7" customHeight="1" x14ac:dyDescent="0.2">
      <c r="B48" s="378"/>
      <c r="C48" s="225" t="s">
        <v>58</v>
      </c>
      <c r="E48" s="222"/>
      <c r="F48" s="222"/>
      <c r="G48" s="222"/>
      <c r="H48" s="222"/>
      <c r="I48" s="222"/>
      <c r="J48" s="222"/>
      <c r="K48" s="222"/>
      <c r="L48" s="222"/>
      <c r="M48" s="222"/>
    </row>
    <row r="49" spans="1:13" ht="13.7" customHeight="1" x14ac:dyDescent="0.2">
      <c r="B49" s="378"/>
      <c r="C49" s="225" t="s">
        <v>355</v>
      </c>
      <c r="E49" s="222"/>
      <c r="F49" s="222"/>
      <c r="G49" s="222"/>
      <c r="H49" s="222"/>
      <c r="I49" s="222"/>
      <c r="J49" s="222"/>
      <c r="K49" s="222"/>
      <c r="L49" s="222"/>
      <c r="M49" s="222"/>
    </row>
    <row r="50" spans="1:13" ht="13.7" customHeight="1" x14ac:dyDescent="0.2">
      <c r="B50" s="378"/>
      <c r="C50" s="225" t="s">
        <v>356</v>
      </c>
      <c r="E50" s="222"/>
      <c r="F50" s="222"/>
      <c r="G50" s="222"/>
      <c r="H50" s="222"/>
      <c r="I50" s="222"/>
      <c r="J50" s="222"/>
      <c r="K50" s="222"/>
      <c r="L50" s="222"/>
      <c r="M50" s="222"/>
    </row>
    <row r="51" spans="1:13" ht="13.7"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4"/>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575</v>
      </c>
      <c r="B2" s="2122"/>
      <c r="C2" s="2122"/>
      <c r="D2" s="2122"/>
      <c r="E2" s="2122"/>
      <c r="F2" s="2122"/>
      <c r="G2" s="2122"/>
      <c r="H2" s="2122"/>
      <c r="I2" s="2122"/>
      <c r="J2" s="2122"/>
      <c r="K2" s="2122"/>
      <c r="L2" s="2122"/>
      <c r="M2" s="2122"/>
      <c r="N2" s="2122"/>
      <c r="O2" s="2122"/>
      <c r="P2" s="2122"/>
      <c r="Q2" s="2122"/>
      <c r="R2" s="2122"/>
    </row>
    <row r="3" spans="1:18" ht="12.75" x14ac:dyDescent="0.2">
      <c r="A3" s="2123" t="s">
        <v>1478</v>
      </c>
      <c r="B3" s="2123"/>
      <c r="C3" s="2123"/>
      <c r="D3" s="2123"/>
      <c r="E3" s="2123"/>
      <c r="F3" s="2123"/>
      <c r="G3" s="2123"/>
      <c r="H3" s="2123"/>
      <c r="I3" s="2123"/>
      <c r="J3" s="2123"/>
      <c r="K3" s="2123"/>
      <c r="L3" s="2123"/>
      <c r="M3" s="2123"/>
      <c r="N3" s="2123"/>
      <c r="O3" s="2123"/>
      <c r="P3" s="2123"/>
      <c r="Q3" s="2123"/>
      <c r="R3" s="2123"/>
    </row>
    <row r="4" spans="1:18" x14ac:dyDescent="0.2">
      <c r="A4" s="2124" t="s">
        <v>1633</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Collinsville Area Vocational Center</v>
      </c>
      <c r="E7" s="391"/>
      <c r="G7" s="252"/>
      <c r="H7" s="387"/>
      <c r="I7" s="387"/>
      <c r="J7" s="387"/>
      <c r="K7" s="387"/>
      <c r="L7" s="329"/>
      <c r="M7" s="329"/>
      <c r="N7" s="329"/>
      <c r="O7" s="329"/>
      <c r="P7" s="329"/>
    </row>
    <row r="8" spans="1:18" ht="12.75" x14ac:dyDescent="0.2">
      <c r="A8" s="329"/>
      <c r="B8" s="329"/>
      <c r="C8" s="389" t="s">
        <v>1185</v>
      </c>
      <c r="D8" s="392">
        <f>COVER!A13</f>
        <v>41057010041</v>
      </c>
      <c r="E8" s="393"/>
      <c r="G8" s="329"/>
      <c r="H8" s="329"/>
      <c r="I8" s="329"/>
      <c r="J8" s="329"/>
      <c r="K8" s="329"/>
      <c r="L8" s="329"/>
      <c r="M8" s="329"/>
      <c r="N8" s="329"/>
      <c r="O8" s="329"/>
      <c r="P8" s="329"/>
    </row>
    <row r="9" spans="1:18" ht="12.75" x14ac:dyDescent="0.2">
      <c r="A9" s="329"/>
      <c r="B9" s="329"/>
      <c r="C9" s="389" t="s">
        <v>735</v>
      </c>
      <c r="D9" s="394" t="str">
        <f>COVER!A15</f>
        <v>Madison and 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398701</v>
      </c>
      <c r="I12" s="404"/>
      <c r="J12" s="404"/>
      <c r="K12" s="405">
        <f>TRUNC((H12/H13*100000),5)/100000</f>
        <v>0.41596348459999999</v>
      </c>
      <c r="L12" s="406"/>
      <c r="M12" s="360" t="s">
        <v>1204</v>
      </c>
      <c r="N12" s="360"/>
      <c r="O12" s="407">
        <v>0.35</v>
      </c>
      <c r="P12" s="218"/>
      <c r="Q12" s="218"/>
    </row>
    <row r="13" spans="1:18" s="408" customFormat="1" ht="12.75" x14ac:dyDescent="0.2">
      <c r="A13" s="218"/>
      <c r="B13" s="401"/>
      <c r="C13" s="2120" t="s">
        <v>1389</v>
      </c>
      <c r="D13" s="2121"/>
      <c r="E13" s="218"/>
      <c r="F13" s="409" t="s">
        <v>824</v>
      </c>
      <c r="G13" s="402"/>
      <c r="H13" s="403">
        <f>SUM('Acct Summary 7-8'!C8+'Acct Summary 7-8'!D8+'Acct Summary 7-8'!F8+'Acct Summary 7-8'!I8)+H14</f>
        <v>958500</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887081</v>
      </c>
      <c r="I17" s="404"/>
      <c r="J17" s="416"/>
      <c r="K17" s="405">
        <f>TRUNC((H17/H18*100000),5)/100000</f>
        <v>0.92548878450000005</v>
      </c>
      <c r="L17" s="406"/>
      <c r="M17" s="417" t="s">
        <v>1231</v>
      </c>
      <c r="O17" s="418" t="str">
        <f>IF(AND(O16="2", J20 &gt; 2),"1",IF(AND(O16 = "1", J20 &gt; 2),"2",IF(AND(O16="1", J20 &gt;1),"1","0")))</f>
        <v>0</v>
      </c>
      <c r="P17" s="218"/>
    </row>
    <row r="18" spans="1:18" s="408" customFormat="1" ht="11.25" x14ac:dyDescent="0.2">
      <c r="A18" s="218"/>
      <c r="B18" s="401"/>
      <c r="C18" s="2120" t="s">
        <v>1382</v>
      </c>
      <c r="D18" s="2121"/>
      <c r="E18" s="218"/>
      <c r="F18" s="419" t="s">
        <v>825</v>
      </c>
      <c r="G18" s="402"/>
      <c r="H18" s="403">
        <f>SUM('Acct Summary 7-8'!C8+'Acct Summary 7-8'!D8+'Acct Summary 7-8'!F8+'Acct Summary 7-8'!I8)+H19</f>
        <v>958500</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17" t="s">
        <v>1477</v>
      </c>
      <c r="D24" s="2117"/>
      <c r="E24" s="218"/>
      <c r="F24" s="218" t="s">
        <v>463</v>
      </c>
      <c r="G24" s="402"/>
      <c r="H24" s="403">
        <f>SUM('Assets-Liab 5-6'!C4+'Assets-Liab 5-6'!D4+'Assets-Liab 5-6'!F4+'Assets-Liab 5-6'!I4+'Assets-Liab 5-6'!C5+'Assets-Liab 5-6'!D5+'Assets-Liab 5-6'!F5+'Assets-Liab 5-6'!I5)</f>
        <v>398832</v>
      </c>
      <c r="I24" s="422"/>
      <c r="J24" s="422"/>
      <c r="K24" s="423">
        <f>TRUNC(((H24/H25*100000)/100000),2)</f>
        <v>161.85</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2464.1138900000001</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e">
        <f>IF(K28&gt;=75,"4",IF(K28&gt;=50,"3",IF(K28&gt;=25,"2",1)))</f>
        <v>#DIV/0!</v>
      </c>
      <c r="P27" s="216"/>
    </row>
    <row r="28" spans="1:18" s="408" customFormat="1" ht="11.25" x14ac:dyDescent="0.2">
      <c r="A28" s="218"/>
      <c r="B28" s="401"/>
      <c r="C28" s="218" t="s">
        <v>2068</v>
      </c>
      <c r="D28" s="218"/>
      <c r="E28" s="218"/>
      <c r="F28" s="218" t="s">
        <v>462</v>
      </c>
      <c r="G28" s="402"/>
      <c r="H28" s="427">
        <f>SUM('Short-Term Long-Term Debt 24'!F6,'Short-Term Long-Term Debt 24'!F7,'Short-Term Long-Term Debt 24'!F11)</f>
        <v>0</v>
      </c>
      <c r="I28" s="428"/>
      <c r="J28" s="428"/>
      <c r="K28" s="423" t="e">
        <f>TRUNC(100-((((H28/H29*100))*100)/100),2)</f>
        <v>#DIV/0!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0</v>
      </c>
      <c r="I29" s="428"/>
      <c r="J29" s="428"/>
      <c r="K29" s="410"/>
      <c r="L29" s="218"/>
      <c r="M29" s="360" t="s">
        <v>1205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e">
        <f>IF(K32&gt;=75,"4",IF(K32&gt;=50,"3",IF(K32&gt;=25,"2",1)))</f>
        <v>#VALUE!</v>
      </c>
      <c r="P31" s="216"/>
    </row>
    <row r="32" spans="1:18" s="408" customFormat="1" ht="11.25" x14ac:dyDescent="0.2">
      <c r="A32" s="218"/>
      <c r="B32" s="401"/>
      <c r="C32" s="218" t="s">
        <v>900</v>
      </c>
      <c r="D32" s="218"/>
      <c r="E32" s="218"/>
      <c r="F32" s="218"/>
      <c r="G32" s="402"/>
      <c r="H32" s="403">
        <f>'FP Info 3'!H37</f>
        <v>0</v>
      </c>
      <c r="I32" s="420"/>
      <c r="J32" s="420"/>
      <c r="K32" s="423" t="e">
        <f>TRUNC(100-((((H32/H33*100))*100)/100),2)</f>
        <v>#VALUE!</v>
      </c>
      <c r="L32" s="406"/>
      <c r="M32" s="360" t="s">
        <v>1204</v>
      </c>
      <c r="N32" s="360"/>
      <c r="O32" s="434">
        <v>0.1</v>
      </c>
    </row>
    <row r="33" spans="1:17" s="408" customFormat="1" ht="11.25" x14ac:dyDescent="0.2">
      <c r="A33" s="218"/>
      <c r="B33" s="401"/>
      <c r="C33" s="218" t="s">
        <v>830</v>
      </c>
      <c r="D33" s="218"/>
      <c r="E33" s="218"/>
      <c r="F33" s="218"/>
      <c r="G33" s="402"/>
      <c r="H33" s="403" t="str">
        <f>IF('FP Info 3'!H31="Enter X in a or b"," ",'FP Info 3'!H31)</f>
        <v>Enter x in a.or b.</v>
      </c>
      <c r="I33" s="420"/>
      <c r="J33" s="420"/>
      <c r="K33" s="403"/>
      <c r="L33" s="218"/>
      <c r="M33" s="435" t="s">
        <v>1205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E8" sqref="E8"/>
    </sheetView>
  </sheetViews>
  <sheetFormatPr defaultColWidth="9.140625" defaultRowHeight="12.75" x14ac:dyDescent="0.2"/>
  <cols>
    <col min="1" max="1" width="47.28515625" style="501" customWidth="1"/>
    <col min="2" max="2" width="4.42578125" style="502" customWidth="1"/>
    <col min="3" max="14" width="13.7109375" style="457" customWidth="1"/>
    <col min="15" max="16384" width="9.140625" style="457"/>
  </cols>
  <sheetData>
    <row r="1" spans="1:14" x14ac:dyDescent="0.2">
      <c r="A1" s="2125"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6"/>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7" t="s">
        <v>1028</v>
      </c>
      <c r="B3" s="2128"/>
      <c r="C3" s="1581"/>
      <c r="D3" s="1582"/>
      <c r="E3" s="1582"/>
      <c r="F3" s="1582"/>
      <c r="G3" s="1582"/>
      <c r="H3" s="1582"/>
      <c r="I3" s="1582"/>
      <c r="J3" s="1582"/>
      <c r="K3" s="1582"/>
      <c r="L3" s="1582"/>
      <c r="M3" s="1583"/>
      <c r="N3" s="1584"/>
    </row>
    <row r="4" spans="1:14" ht="13.7" customHeight="1" x14ac:dyDescent="0.2">
      <c r="A4" s="463" t="s">
        <v>1748</v>
      </c>
      <c r="B4" s="464"/>
      <c r="C4" s="465">
        <v>398832</v>
      </c>
      <c r="D4" s="466"/>
      <c r="E4" s="466"/>
      <c r="F4" s="466"/>
      <c r="G4" s="466"/>
      <c r="H4" s="466"/>
      <c r="I4" s="466"/>
      <c r="J4" s="467"/>
      <c r="K4" s="466"/>
      <c r="L4" s="466">
        <v>55891</v>
      </c>
      <c r="M4" s="468"/>
      <c r="N4" s="469"/>
    </row>
    <row r="5" spans="1:14" x14ac:dyDescent="0.2">
      <c r="A5" s="463" t="s">
        <v>1047</v>
      </c>
      <c r="B5" s="470">
        <v>120</v>
      </c>
      <c r="C5" s="465"/>
      <c r="D5" s="466"/>
      <c r="E5" s="466"/>
      <c r="F5" s="466"/>
      <c r="G5" s="466"/>
      <c r="H5" s="466"/>
      <c r="I5" s="466"/>
      <c r="J5" s="467"/>
      <c r="K5" s="471"/>
      <c r="L5" s="472"/>
      <c r="M5" s="468"/>
      <c r="N5" s="469"/>
    </row>
    <row r="6" spans="1:14" ht="13.7" customHeight="1" x14ac:dyDescent="0.2">
      <c r="A6" s="473" t="s">
        <v>435</v>
      </c>
      <c r="B6" s="470">
        <v>130</v>
      </c>
      <c r="C6" s="465"/>
      <c r="D6" s="466"/>
      <c r="E6" s="466"/>
      <c r="F6" s="466"/>
      <c r="G6" s="471"/>
      <c r="H6" s="471"/>
      <c r="I6" s="466"/>
      <c r="J6" s="474"/>
      <c r="K6" s="471"/>
      <c r="L6" s="475"/>
      <c r="M6" s="468"/>
      <c r="N6" s="469"/>
    </row>
    <row r="7" spans="1:14" ht="13.7" customHeight="1" x14ac:dyDescent="0.2">
      <c r="A7" s="473" t="s">
        <v>436</v>
      </c>
      <c r="B7" s="470">
        <v>140</v>
      </c>
      <c r="C7" s="476"/>
      <c r="D7" s="467"/>
      <c r="E7" s="467"/>
      <c r="F7" s="467"/>
      <c r="G7" s="467"/>
      <c r="H7" s="467"/>
      <c r="I7" s="467"/>
      <c r="J7" s="467"/>
      <c r="K7" s="467"/>
      <c r="L7" s="477"/>
      <c r="M7" s="468"/>
      <c r="N7" s="469"/>
    </row>
    <row r="8" spans="1:14" ht="13.7" customHeight="1" x14ac:dyDescent="0.2">
      <c r="A8" s="473" t="s">
        <v>285</v>
      </c>
      <c r="B8" s="470">
        <v>150</v>
      </c>
      <c r="C8" s="476"/>
      <c r="D8" s="467"/>
      <c r="E8" s="467"/>
      <c r="F8" s="467"/>
      <c r="G8" s="478"/>
      <c r="H8" s="467"/>
      <c r="I8" s="474"/>
      <c r="J8" s="474"/>
      <c r="K8" s="479"/>
      <c r="L8" s="480"/>
      <c r="M8" s="468"/>
      <c r="N8" s="469"/>
    </row>
    <row r="9" spans="1:14" ht="13.7" customHeight="1" x14ac:dyDescent="0.2">
      <c r="A9" s="473" t="s">
        <v>286</v>
      </c>
      <c r="B9" s="470">
        <v>160</v>
      </c>
      <c r="C9" s="476"/>
      <c r="D9" s="467"/>
      <c r="E9" s="467"/>
      <c r="F9" s="467"/>
      <c r="G9" s="467"/>
      <c r="H9" s="478"/>
      <c r="I9" s="467"/>
      <c r="J9" s="467"/>
      <c r="K9" s="467"/>
      <c r="L9" s="467"/>
      <c r="M9" s="468"/>
      <c r="N9" s="469"/>
    </row>
    <row r="10" spans="1:14" ht="13.7" customHeight="1" x14ac:dyDescent="0.2">
      <c r="A10" s="473" t="s">
        <v>1046</v>
      </c>
      <c r="B10" s="470">
        <v>170</v>
      </c>
      <c r="C10" s="465"/>
      <c r="D10" s="466"/>
      <c r="E10" s="467"/>
      <c r="F10" s="466"/>
      <c r="G10" s="478"/>
      <c r="H10" s="481"/>
      <c r="I10" s="467"/>
      <c r="J10" s="467"/>
      <c r="K10" s="481"/>
      <c r="L10" s="481"/>
      <c r="M10" s="469"/>
      <c r="N10" s="469"/>
    </row>
    <row r="11" spans="1:14" ht="13.7" customHeight="1" x14ac:dyDescent="0.2">
      <c r="A11" s="473" t="s">
        <v>287</v>
      </c>
      <c r="B11" s="470">
        <v>180</v>
      </c>
      <c r="C11" s="476"/>
      <c r="D11" s="467"/>
      <c r="E11" s="467"/>
      <c r="F11" s="467"/>
      <c r="G11" s="467"/>
      <c r="H11" s="467"/>
      <c r="I11" s="478"/>
      <c r="J11" s="478"/>
      <c r="K11" s="467"/>
      <c r="L11" s="467"/>
      <c r="M11" s="469"/>
      <c r="N11" s="469"/>
    </row>
    <row r="12" spans="1:14" ht="13.7" customHeight="1" x14ac:dyDescent="0.2">
      <c r="A12" s="473" t="s">
        <v>437</v>
      </c>
      <c r="B12" s="470">
        <v>190</v>
      </c>
      <c r="C12" s="465"/>
      <c r="D12" s="466"/>
      <c r="E12" s="466"/>
      <c r="F12" s="466"/>
      <c r="G12" s="466"/>
      <c r="H12" s="466"/>
      <c r="I12" s="466"/>
      <c r="J12" s="467"/>
      <c r="K12" s="466"/>
      <c r="L12" s="466"/>
      <c r="M12" s="469"/>
      <c r="N12" s="469"/>
    </row>
    <row r="13" spans="1:14" ht="13.7" customHeight="1" thickBot="1" x14ac:dyDescent="0.25">
      <c r="A13" s="1758" t="s">
        <v>663</v>
      </c>
      <c r="B13" s="1731"/>
      <c r="C13" s="1759">
        <f>SUM(C4:C12)</f>
        <v>398832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55891</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c r="N17" s="484"/>
    </row>
    <row r="18" spans="1:14" s="485" customFormat="1" ht="12.75" customHeight="1" x14ac:dyDescent="0.2">
      <c r="A18" s="482" t="s">
        <v>1469</v>
      </c>
      <c r="B18" s="483">
        <v>240</v>
      </c>
      <c r="C18" s="477"/>
      <c r="D18" s="477"/>
      <c r="E18" s="477"/>
      <c r="F18" s="477"/>
      <c r="G18" s="477"/>
      <c r="H18" s="477"/>
      <c r="I18" s="477"/>
      <c r="J18" s="477"/>
      <c r="K18" s="477"/>
      <c r="L18" s="477"/>
      <c r="M18" s="467"/>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f>
        <v>1073195</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0</v>
      </c>
    </row>
    <row r="23" spans="1:14" ht="13.7" customHeight="1" thickBot="1" x14ac:dyDescent="0.25">
      <c r="A23" s="1758" t="s">
        <v>662</v>
      </c>
      <c r="B23" s="1763"/>
      <c r="C23" s="468"/>
      <c r="D23" s="468"/>
      <c r="E23" s="468"/>
      <c r="F23" s="468"/>
      <c r="G23" s="468"/>
      <c r="H23" s="468"/>
      <c r="I23" s="468"/>
      <c r="J23" s="468"/>
      <c r="K23" s="468"/>
      <c r="L23" s="468"/>
      <c r="M23" s="1710">
        <f>SUM(M15:M22)</f>
        <v>1073195</v>
      </c>
      <c r="N23" s="1710">
        <f>SUM(N21:N22)</f>
        <v>0</v>
      </c>
    </row>
    <row r="24" spans="1:14" ht="18" customHeight="1" thickTop="1" x14ac:dyDescent="0.2">
      <c r="A24" s="2131" t="s">
        <v>617</v>
      </c>
      <c r="B24" s="2132"/>
      <c r="C24" s="1590"/>
      <c r="D24" s="1587"/>
      <c r="E24" s="1587"/>
      <c r="F24" s="1587"/>
      <c r="G24" s="1587"/>
      <c r="H24" s="1587"/>
      <c r="I24" s="1587"/>
      <c r="J24" s="1587"/>
      <c r="K24" s="1587"/>
      <c r="L24" s="1587"/>
      <c r="M24" s="1586"/>
      <c r="N24" s="1591"/>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7" customHeight="1" x14ac:dyDescent="0.2">
      <c r="A27" s="473" t="s">
        <v>666</v>
      </c>
      <c r="B27" s="470">
        <v>430</v>
      </c>
      <c r="C27" s="467">
        <v>131</v>
      </c>
      <c r="D27" s="467"/>
      <c r="E27" s="467"/>
      <c r="F27" s="467"/>
      <c r="G27" s="467"/>
      <c r="H27" s="467"/>
      <c r="I27" s="467"/>
      <c r="J27" s="467"/>
      <c r="K27" s="467"/>
      <c r="L27" s="468"/>
      <c r="M27" s="468"/>
      <c r="N27" s="468"/>
    </row>
    <row r="28" spans="1:14" ht="13.7" customHeight="1" x14ac:dyDescent="0.2">
      <c r="A28" s="473" t="s">
        <v>667</v>
      </c>
      <c r="B28" s="470">
        <v>440</v>
      </c>
      <c r="C28" s="467"/>
      <c r="D28" s="467"/>
      <c r="E28" s="474"/>
      <c r="F28" s="467"/>
      <c r="G28" s="474"/>
      <c r="H28" s="474"/>
      <c r="I28" s="467"/>
      <c r="J28" s="467"/>
      <c r="K28" s="479"/>
      <c r="L28" s="468"/>
      <c r="M28" s="468"/>
      <c r="N28" s="468"/>
    </row>
    <row r="29" spans="1:14" ht="13.7" customHeight="1" x14ac:dyDescent="0.2">
      <c r="A29" s="473" t="s">
        <v>668</v>
      </c>
      <c r="B29" s="470">
        <v>460</v>
      </c>
      <c r="C29" s="488"/>
      <c r="D29" s="489"/>
      <c r="E29" s="474"/>
      <c r="F29" s="467"/>
      <c r="G29" s="474"/>
      <c r="H29" s="474"/>
      <c r="I29" s="474"/>
      <c r="J29" s="474"/>
      <c r="K29" s="467"/>
      <c r="L29" s="468"/>
      <c r="M29" s="468"/>
      <c r="N29" s="468"/>
    </row>
    <row r="30" spans="1:14" ht="13.7" customHeight="1" x14ac:dyDescent="0.2">
      <c r="A30" s="473" t="s">
        <v>669</v>
      </c>
      <c r="B30" s="470">
        <v>470</v>
      </c>
      <c r="C30" s="467"/>
      <c r="D30" s="474"/>
      <c r="E30" s="467"/>
      <c r="F30" s="467"/>
      <c r="G30" s="467"/>
      <c r="H30" s="467"/>
      <c r="I30" s="467"/>
      <c r="J30" s="467"/>
      <c r="K30" s="478"/>
      <c r="L30" s="468"/>
      <c r="M30" s="468"/>
      <c r="N30" s="468"/>
    </row>
    <row r="31" spans="1:14" ht="13.7" customHeight="1" x14ac:dyDescent="0.2">
      <c r="A31" s="473" t="s">
        <v>670</v>
      </c>
      <c r="B31" s="470">
        <v>480</v>
      </c>
      <c r="C31" s="466"/>
      <c r="D31" s="467"/>
      <c r="E31" s="467"/>
      <c r="F31" s="466"/>
      <c r="G31" s="467"/>
      <c r="H31" s="467"/>
      <c r="I31" s="467"/>
      <c r="J31" s="467"/>
      <c r="K31" s="467"/>
      <c r="L31" s="468"/>
      <c r="M31" s="468"/>
      <c r="N31" s="468"/>
    </row>
    <row r="32" spans="1:14" ht="13.7" customHeight="1" x14ac:dyDescent="0.2">
      <c r="A32" s="490" t="s">
        <v>671</v>
      </c>
      <c r="B32" s="491">
        <v>490</v>
      </c>
      <c r="C32" s="492"/>
      <c r="D32" s="492"/>
      <c r="E32" s="474"/>
      <c r="F32" s="474"/>
      <c r="G32" s="474"/>
      <c r="H32" s="474"/>
      <c r="I32" s="474"/>
      <c r="J32" s="474"/>
      <c r="K32" s="479"/>
      <c r="L32" s="468"/>
      <c r="M32" s="468"/>
      <c r="N32" s="468"/>
    </row>
    <row r="33" spans="1:14" ht="13.7" customHeight="1" x14ac:dyDescent="0.2">
      <c r="A33" s="493" t="s">
        <v>319</v>
      </c>
      <c r="B33" s="491">
        <v>493</v>
      </c>
      <c r="C33" s="467"/>
      <c r="D33" s="467"/>
      <c r="E33" s="467"/>
      <c r="F33" s="467"/>
      <c r="G33" s="467"/>
      <c r="H33" s="467"/>
      <c r="I33" s="467"/>
      <c r="J33" s="467"/>
      <c r="K33" s="467"/>
      <c r="L33" s="467">
        <v>55891</v>
      </c>
      <c r="M33" s="468"/>
      <c r="N33" s="469"/>
    </row>
    <row r="34" spans="1:14" ht="13.7" customHeight="1" thickBot="1" x14ac:dyDescent="0.25">
      <c r="A34" s="1760" t="s">
        <v>673</v>
      </c>
      <c r="B34" s="1761"/>
      <c r="C34" s="1762">
        <f>SUM(C25:C33)</f>
        <v>131</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55891</v>
      </c>
      <c r="M34" s="468"/>
      <c r="N34" s="480"/>
    </row>
    <row r="35" spans="1:14" ht="18" customHeight="1" thickTop="1" x14ac:dyDescent="0.2">
      <c r="A35" s="2133" t="s">
        <v>548</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672</v>
      </c>
      <c r="B37" s="1763"/>
      <c r="C37" s="477"/>
      <c r="D37" s="477"/>
      <c r="E37" s="477"/>
      <c r="F37" s="477"/>
      <c r="G37" s="477"/>
      <c r="H37" s="477"/>
      <c r="I37" s="477"/>
      <c r="J37" s="477"/>
      <c r="K37" s="477"/>
      <c r="L37" s="480"/>
      <c r="M37" s="468"/>
      <c r="N37" s="1710">
        <f>SUM(N36:N36)</f>
        <v>0</v>
      </c>
    </row>
    <row r="38" spans="1:14" s="329" customFormat="1" ht="13.7" customHeight="1" thickTop="1" x14ac:dyDescent="0.2">
      <c r="A38" s="496" t="s">
        <v>438</v>
      </c>
      <c r="B38" s="483">
        <v>714</v>
      </c>
      <c r="C38" s="466"/>
      <c r="D38" s="466"/>
      <c r="E38" s="466"/>
      <c r="F38" s="466"/>
      <c r="G38" s="466"/>
      <c r="H38" s="466"/>
      <c r="I38" s="466"/>
      <c r="J38" s="467"/>
      <c r="K38" s="466"/>
      <c r="L38" s="481"/>
      <c r="M38" s="497"/>
      <c r="N38" s="497"/>
    </row>
    <row r="39" spans="1:14" s="329" customFormat="1" ht="13.7" customHeight="1" x14ac:dyDescent="0.2">
      <c r="A39" s="496" t="s">
        <v>358</v>
      </c>
      <c r="B39" s="483">
        <v>730</v>
      </c>
      <c r="C39" s="466">
        <v>398701</v>
      </c>
      <c r="D39" s="466"/>
      <c r="E39" s="466"/>
      <c r="F39" s="466"/>
      <c r="G39" s="466"/>
      <c r="H39" s="466"/>
      <c r="I39" s="466"/>
      <c r="J39" s="467"/>
      <c r="K39" s="466"/>
      <c r="L39" s="466"/>
      <c r="M39" s="497"/>
      <c r="N39" s="497"/>
    </row>
    <row r="40" spans="1:14" s="329" customFormat="1" ht="13.7" customHeight="1" x14ac:dyDescent="0.2">
      <c r="A40" s="498" t="s">
        <v>150</v>
      </c>
      <c r="B40" s="499"/>
      <c r="C40" s="500"/>
      <c r="D40" s="500"/>
      <c r="E40" s="500"/>
      <c r="F40" s="500"/>
      <c r="G40" s="500"/>
      <c r="H40" s="500"/>
      <c r="I40" s="500"/>
      <c r="J40" s="500"/>
      <c r="K40" s="500"/>
      <c r="L40" s="500"/>
      <c r="M40" s="467">
        <f>+M23</f>
        <v>1073195</v>
      </c>
      <c r="N40" s="497"/>
    </row>
    <row r="41" spans="1:14" ht="13.7" customHeight="1" thickBot="1" x14ac:dyDescent="0.25">
      <c r="A41" s="1758" t="s">
        <v>674</v>
      </c>
      <c r="B41" s="1728"/>
      <c r="C41" s="1710">
        <f>(SUM(C34,C37,C38,C39))</f>
        <v>398832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55891</v>
      </c>
      <c r="M41" s="1710">
        <f>SUM(M40)</f>
        <v>1073195</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9" activePane="bottomLeft" state="frozenSplit"/>
      <selection activeCell="A47" sqref="A47"/>
      <selection pane="bottomLeft" activeCell="C79" sqref="C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4"/>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5" t="s">
        <v>1235</v>
      </c>
      <c r="B3" s="2156"/>
      <c r="C3" s="1595"/>
      <c r="D3" s="1596"/>
      <c r="E3" s="1596"/>
      <c r="F3" s="1596"/>
      <c r="G3" s="1596"/>
      <c r="H3" s="1596"/>
      <c r="I3" s="1596"/>
      <c r="J3" s="1596"/>
      <c r="K3" s="1597"/>
      <c r="L3" s="506"/>
    </row>
    <row r="4" spans="1:13" ht="15.75" customHeight="1" x14ac:dyDescent="0.2">
      <c r="A4" s="1954" t="s">
        <v>1577</v>
      </c>
      <c r="B4" s="1955">
        <v>1000</v>
      </c>
      <c r="C4" s="1764">
        <f>'Revenues 9-14'!C109</f>
        <v>663419</v>
      </c>
      <c r="D4" s="1764">
        <f>'Revenues 9-14'!D109</f>
        <v>22781</v>
      </c>
      <c r="E4" s="1764">
        <f>'Revenues 9-14'!E109</f>
        <v>0</v>
      </c>
      <c r="F4" s="1764">
        <f>'Revenues 9-14'!F109</f>
        <v>20038</v>
      </c>
      <c r="G4" s="1764">
        <f>'Revenues 9-14'!G109</f>
        <v>0</v>
      </c>
      <c r="H4" s="1764">
        <f>'Revenues 9-14'!H109</f>
        <v>0</v>
      </c>
      <c r="I4" s="1764">
        <f>'Revenues 9-14'!I109</f>
        <v>0</v>
      </c>
      <c r="J4" s="1764">
        <f>'Revenues 9-14'!J109</f>
        <v>0</v>
      </c>
      <c r="K4" s="1764">
        <f>'Revenues 9-14'!K109</f>
        <v>0</v>
      </c>
      <c r="L4" s="347"/>
    </row>
    <row r="5" spans="1:13" ht="15.75" customHeight="1" x14ac:dyDescent="0.2">
      <c r="A5" s="1598" t="s">
        <v>1578</v>
      </c>
      <c r="B5" s="1599">
        <v>2000</v>
      </c>
      <c r="C5" s="1765">
        <f>'Revenues 9-14'!C114</f>
        <v>252262</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0</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915681</v>
      </c>
      <c r="D8" s="1710">
        <f t="shared" ref="D8:K8" si="0">SUM(D4:D7)</f>
        <v>22781</v>
      </c>
      <c r="E8" s="1710">
        <f t="shared" si="0"/>
        <v>0</v>
      </c>
      <c r="F8" s="1710">
        <f t="shared" si="0"/>
        <v>20038</v>
      </c>
      <c r="G8" s="1710">
        <f t="shared" si="0"/>
        <v>0</v>
      </c>
      <c r="H8" s="1710">
        <f t="shared" si="0"/>
        <v>0</v>
      </c>
      <c r="I8" s="1710">
        <f t="shared" si="0"/>
        <v>0</v>
      </c>
      <c r="J8" s="1710">
        <f t="shared" si="0"/>
        <v>0</v>
      </c>
      <c r="K8" s="1710">
        <f t="shared" si="0"/>
        <v>0</v>
      </c>
      <c r="L8" s="347"/>
    </row>
    <row r="9" spans="1:13" ht="15.75" thickTop="1" x14ac:dyDescent="0.2">
      <c r="A9" s="514" t="s">
        <v>1750</v>
      </c>
      <c r="B9" s="515">
        <v>3998</v>
      </c>
      <c r="C9" s="481"/>
      <c r="D9" s="516"/>
      <c r="E9" s="481"/>
      <c r="F9" s="481"/>
      <c r="G9" s="517"/>
      <c r="H9" s="481"/>
      <c r="I9" s="509" t="s">
        <v>1229</v>
      </c>
      <c r="J9" s="478"/>
      <c r="K9" s="481"/>
      <c r="L9" s="347"/>
    </row>
    <row r="10" spans="1:13" s="519" customFormat="1" ht="13.5" thickBot="1" x14ac:dyDescent="0.25">
      <c r="A10" s="1758" t="s">
        <v>1233</v>
      </c>
      <c r="B10" s="1731"/>
      <c r="C10" s="1710">
        <f>SUM(C8:C9)</f>
        <v>915681</v>
      </c>
      <c r="D10" s="1710">
        <f t="shared" ref="D10:K10" si="1">SUM(D8:D9)</f>
        <v>22781</v>
      </c>
      <c r="E10" s="1710">
        <f t="shared" si="1"/>
        <v>0</v>
      </c>
      <c r="F10" s="1710">
        <f t="shared" si="1"/>
        <v>20038</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1236</v>
      </c>
      <c r="B11" s="2130"/>
      <c r="C11" s="1592"/>
      <c r="D11" s="1593"/>
      <c r="E11" s="1593"/>
      <c r="F11" s="1593"/>
      <c r="G11" s="1593"/>
      <c r="H11" s="1593"/>
      <c r="I11" s="1593"/>
      <c r="J11" s="1593"/>
      <c r="K11" s="1594"/>
      <c r="L11" s="518"/>
    </row>
    <row r="12" spans="1:13" ht="15.75" customHeight="1" x14ac:dyDescent="0.2">
      <c r="A12" s="1598" t="s">
        <v>474</v>
      </c>
      <c r="B12" s="1600">
        <v>1000</v>
      </c>
      <c r="C12" s="1764">
        <f>'Expenditures 15-22'!K33</f>
        <v>549270</v>
      </c>
      <c r="D12" s="520" t="s">
        <v>1229</v>
      </c>
      <c r="E12" s="468" t="s">
        <v>1229</v>
      </c>
      <c r="F12" s="468" t="s">
        <v>1229</v>
      </c>
      <c r="G12" s="1764">
        <f>'Expenditures 15-22'!K229</f>
        <v>0</v>
      </c>
      <c r="H12" s="521"/>
      <c r="I12" s="468" t="s">
        <v>1229</v>
      </c>
      <c r="J12" s="468" t="s">
        <v>1229</v>
      </c>
      <c r="K12" s="521" t="s">
        <v>1229</v>
      </c>
      <c r="L12" s="347"/>
    </row>
    <row r="13" spans="1:13" ht="15.75" customHeight="1" x14ac:dyDescent="0.2">
      <c r="A13" s="1598" t="s">
        <v>475</v>
      </c>
      <c r="B13" s="1600">
        <v>2000</v>
      </c>
      <c r="C13" s="1765">
        <f>'Expenditures 15-22'!K74</f>
        <v>291663</v>
      </c>
      <c r="D13" s="1765">
        <f>'Expenditures 15-22'!K129</f>
        <v>19093</v>
      </c>
      <c r="E13" s="469" t="s">
        <v>1229</v>
      </c>
      <c r="F13" s="1765">
        <f>'Expenditures 15-22'!K184</f>
        <v>27055</v>
      </c>
      <c r="G13" s="1765">
        <f>'Expenditures 15-22'!K279</f>
        <v>0</v>
      </c>
      <c r="H13" s="1765">
        <f>'Expenditures 15-22'!K303</f>
        <v>0</v>
      </c>
      <c r="I13" s="468" t="s">
        <v>1229</v>
      </c>
      <c r="J13" s="1765">
        <f>'Expenditures 15-22'!K330</f>
        <v>0</v>
      </c>
      <c r="K13" s="1769">
        <f>'Expenditures 15-22'!K352</f>
        <v>0</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0</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840933</v>
      </c>
      <c r="D17" s="1710">
        <f t="shared" si="2"/>
        <v>19093</v>
      </c>
      <c r="E17" s="1710">
        <f t="shared" si="2"/>
        <v>0</v>
      </c>
      <c r="F17" s="1710">
        <f t="shared" si="2"/>
        <v>27055</v>
      </c>
      <c r="G17" s="1710">
        <f t="shared" si="2"/>
        <v>0</v>
      </c>
      <c r="H17" s="1710">
        <f t="shared" si="2"/>
        <v>0</v>
      </c>
      <c r="I17" s="468"/>
      <c r="J17" s="1710">
        <f>SUM(J12:J16)</f>
        <v>0</v>
      </c>
      <c r="K17" s="1710">
        <f>SUM(K12:K16)</f>
        <v>0</v>
      </c>
      <c r="L17" s="347"/>
    </row>
    <row r="18" spans="1:12" ht="15" customHeight="1" thickTop="1" x14ac:dyDescent="0.2">
      <c r="A18" s="1766" t="s">
        <v>1751</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840933</v>
      </c>
      <c r="D19" s="1710">
        <f t="shared" si="4"/>
        <v>19093</v>
      </c>
      <c r="E19" s="1710">
        <f t="shared" si="4"/>
        <v>0</v>
      </c>
      <c r="F19" s="1710">
        <f t="shared" si="4"/>
        <v>27055</v>
      </c>
      <c r="G19" s="1710">
        <f t="shared" si="4"/>
        <v>0</v>
      </c>
      <c r="H19" s="1710">
        <f t="shared" si="4"/>
        <v>0</v>
      </c>
      <c r="I19" s="468"/>
      <c r="J19" s="1710">
        <f>SUM(J17:J18)</f>
        <v>0</v>
      </c>
      <c r="K19" s="1710">
        <f>SUM(K17:K18)</f>
        <v>0</v>
      </c>
      <c r="L19" s="347"/>
    </row>
    <row r="20" spans="1:12" ht="16.5" thickTop="1" thickBot="1" x14ac:dyDescent="0.25">
      <c r="A20" s="2145" t="s">
        <v>1752</v>
      </c>
      <c r="B20" s="2146"/>
      <c r="C20" s="1768">
        <f>C8-C17</f>
        <v>74748</v>
      </c>
      <c r="D20" s="1768">
        <f t="shared" ref="D20:K20" si="5">D8-D17</f>
        <v>3688</v>
      </c>
      <c r="E20" s="1768">
        <f t="shared" si="5"/>
        <v>0</v>
      </c>
      <c r="F20" s="1768">
        <f t="shared" si="5"/>
        <v>-7017</v>
      </c>
      <c r="G20" s="1768">
        <f t="shared" si="5"/>
        <v>0</v>
      </c>
      <c r="H20" s="1768">
        <f t="shared" si="5"/>
        <v>0</v>
      </c>
      <c r="I20" s="1768">
        <f t="shared" si="5"/>
        <v>0</v>
      </c>
      <c r="J20" s="1768">
        <f t="shared" si="5"/>
        <v>0</v>
      </c>
      <c r="K20" s="1768">
        <f t="shared" si="5"/>
        <v>0</v>
      </c>
      <c r="L20" s="347"/>
    </row>
    <row r="21" spans="1:12" ht="16.7" customHeight="1" thickTop="1" x14ac:dyDescent="0.2">
      <c r="A21" s="2157" t="s">
        <v>614</v>
      </c>
      <c r="B21" s="2158"/>
      <c r="C21" s="1592"/>
      <c r="D21" s="1593"/>
      <c r="E21" s="1593"/>
      <c r="F21" s="1593"/>
      <c r="G21" s="1593"/>
      <c r="H21" s="1593"/>
      <c r="I21" s="1593"/>
      <c r="J21" s="1593"/>
      <c r="K21" s="1594"/>
      <c r="L21" s="524"/>
    </row>
    <row r="22" spans="1:12" ht="15.75" customHeight="1" collapsed="1" x14ac:dyDescent="0.2">
      <c r="A22" s="2153" t="s">
        <v>615</v>
      </c>
      <c r="B22" s="2154"/>
      <c r="C22" s="477"/>
      <c r="D22" s="477"/>
      <c r="E22" s="477"/>
      <c r="F22" s="477"/>
      <c r="G22" s="477"/>
      <c r="H22" s="477"/>
      <c r="I22" s="477"/>
      <c r="J22" s="477"/>
      <c r="K22" s="477"/>
      <c r="L22" s="347"/>
    </row>
    <row r="23" spans="1:12" s="485" customFormat="1" ht="15.75" customHeight="1" x14ac:dyDescent="0.2">
      <c r="A23" s="2149" t="s">
        <v>309</v>
      </c>
      <c r="B23" s="2150"/>
      <c r="C23" s="480"/>
      <c r="D23" s="477"/>
      <c r="E23" s="477"/>
      <c r="F23" s="477"/>
      <c r="G23" s="477"/>
      <c r="H23" s="477"/>
      <c r="I23" s="477"/>
      <c r="J23" s="477"/>
      <c r="K23" s="477"/>
      <c r="L23" s="524"/>
    </row>
    <row r="24" spans="1:12" s="485" customFormat="1" ht="13.7" customHeight="1" x14ac:dyDescent="0.2">
      <c r="A24" s="1511" t="s">
        <v>1753</v>
      </c>
      <c r="B24" s="525">
        <v>7110</v>
      </c>
      <c r="C24" s="467"/>
      <c r="D24" s="477"/>
      <c r="E24" s="477"/>
      <c r="F24" s="477"/>
      <c r="G24" s="477"/>
      <c r="H24" s="477"/>
      <c r="I24" s="477"/>
      <c r="J24" s="477"/>
      <c r="K24" s="477"/>
      <c r="L24" s="524"/>
    </row>
    <row r="25" spans="1:12" s="485" customFormat="1" ht="13.7" customHeight="1" x14ac:dyDescent="0.2">
      <c r="A25" s="1511" t="s">
        <v>1754</v>
      </c>
      <c r="B25" s="525">
        <v>7110</v>
      </c>
      <c r="C25" s="467"/>
      <c r="D25" s="467"/>
      <c r="E25" s="467"/>
      <c r="F25" s="467"/>
      <c r="G25" s="467"/>
      <c r="H25" s="467"/>
      <c r="I25" s="477"/>
      <c r="J25" s="467"/>
      <c r="K25" s="467"/>
      <c r="L25" s="524"/>
    </row>
    <row r="26" spans="1:12" s="485" customFormat="1" ht="13.7" customHeight="1" x14ac:dyDescent="0.2">
      <c r="A26" s="1511" t="s">
        <v>193</v>
      </c>
      <c r="B26" s="483">
        <v>7120</v>
      </c>
      <c r="C26" s="467"/>
      <c r="D26" s="467"/>
      <c r="E26" s="467"/>
      <c r="F26" s="467"/>
      <c r="G26" s="467"/>
      <c r="H26" s="467"/>
      <c r="I26" s="477"/>
      <c r="J26" s="467"/>
      <c r="K26" s="467"/>
      <c r="L26" s="524"/>
    </row>
    <row r="27" spans="1:12" s="485" customFormat="1" ht="13.7" customHeight="1" x14ac:dyDescent="0.2">
      <c r="A27" s="1511" t="s">
        <v>194</v>
      </c>
      <c r="B27" s="483">
        <v>7130</v>
      </c>
      <c r="C27" s="467">
        <v>3688</v>
      </c>
      <c r="D27" s="467"/>
      <c r="E27" s="526"/>
      <c r="F27" s="467">
        <v>7017</v>
      </c>
      <c r="G27" s="480"/>
      <c r="H27" s="480"/>
      <c r="I27" s="480"/>
      <c r="J27" s="480"/>
      <c r="K27" s="480"/>
      <c r="L27" s="524"/>
    </row>
    <row r="28" spans="1:12" s="485" customFormat="1" ht="13.7" customHeight="1" x14ac:dyDescent="0.2">
      <c r="A28" s="1511" t="s">
        <v>1463</v>
      </c>
      <c r="B28" s="483">
        <v>7140</v>
      </c>
      <c r="C28" s="467"/>
      <c r="D28" s="467"/>
      <c r="E28" s="467"/>
      <c r="F28" s="467"/>
      <c r="G28" s="467"/>
      <c r="H28" s="467"/>
      <c r="I28" s="467"/>
      <c r="J28" s="467"/>
      <c r="K28" s="467"/>
      <c r="L28" s="524"/>
    </row>
    <row r="29" spans="1:12" s="485" customFormat="1" ht="13.7"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1" t="s">
        <v>1036</v>
      </c>
      <c r="B32" s="2152"/>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7" customHeight="1" x14ac:dyDescent="0.2">
      <c r="A40" s="1511" t="s">
        <v>661</v>
      </c>
      <c r="B40" s="483">
        <v>7700</v>
      </c>
      <c r="C40" s="477"/>
      <c r="D40" s="477"/>
      <c r="E40" s="1765">
        <f>SUM(C66:D69)</f>
        <v>0</v>
      </c>
      <c r="F40" s="477"/>
      <c r="G40" s="477"/>
      <c r="H40" s="480"/>
      <c r="I40" s="477"/>
      <c r="J40" s="477"/>
      <c r="K40" s="477"/>
      <c r="L40" s="524"/>
    </row>
    <row r="41" spans="1:12" s="485" customFormat="1" ht="13.7" customHeight="1" x14ac:dyDescent="0.2">
      <c r="A41" s="1511" t="s">
        <v>659</v>
      </c>
      <c r="B41" s="483">
        <v>7800</v>
      </c>
      <c r="C41" s="480"/>
      <c r="D41" s="480"/>
      <c r="E41" s="526"/>
      <c r="F41" s="480"/>
      <c r="G41" s="480"/>
      <c r="H41" s="1765">
        <f>SUM(C70:D73)</f>
        <v>0</v>
      </c>
      <c r="I41" s="477"/>
      <c r="J41" s="477"/>
      <c r="K41" s="480"/>
      <c r="L41" s="524"/>
    </row>
    <row r="42" spans="1:12" s="485" customFormat="1" ht="13.7" customHeight="1" x14ac:dyDescent="0.2">
      <c r="A42" s="1511" t="s">
        <v>660</v>
      </c>
      <c r="B42" s="483">
        <v>7900</v>
      </c>
      <c r="C42" s="467"/>
      <c r="D42" s="467"/>
      <c r="E42" s="467"/>
      <c r="F42" s="467"/>
      <c r="G42" s="467"/>
      <c r="H42" s="467"/>
      <c r="I42" s="480"/>
      <c r="J42" s="480"/>
      <c r="K42" s="467"/>
      <c r="L42" s="524"/>
    </row>
    <row r="43" spans="1:12" s="485" customFormat="1" ht="13.7" customHeight="1" x14ac:dyDescent="0.2">
      <c r="A43" s="1511" t="s">
        <v>389</v>
      </c>
      <c r="B43" s="483">
        <v>7990</v>
      </c>
      <c r="C43" s="467"/>
      <c r="D43" s="467"/>
      <c r="E43" s="467"/>
      <c r="F43" s="467"/>
      <c r="G43" s="467"/>
      <c r="H43" s="467"/>
      <c r="I43" s="467"/>
      <c r="J43" s="467"/>
      <c r="K43" s="467"/>
      <c r="L43" s="524"/>
    </row>
    <row r="44" spans="1:12" s="485" customFormat="1" ht="13.7" customHeight="1" thickBot="1" x14ac:dyDescent="0.25">
      <c r="A44" s="2159" t="s">
        <v>390</v>
      </c>
      <c r="B44" s="2160"/>
      <c r="C44" s="1725">
        <f>SUM(C24:C43)</f>
        <v>3688</v>
      </c>
      <c r="D44" s="1725">
        <f t="shared" ref="D44:K44" si="6">SUM(D24:D43)</f>
        <v>0</v>
      </c>
      <c r="E44" s="1725">
        <f t="shared" si="6"/>
        <v>0</v>
      </c>
      <c r="F44" s="1725">
        <f t="shared" si="6"/>
        <v>7017</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7017</v>
      </c>
      <c r="D49" s="467">
        <v>3688</v>
      </c>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7"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7"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35" t="s">
        <v>458</v>
      </c>
      <c r="B76" s="2136"/>
      <c r="C76" s="1725">
        <f t="shared" ref="C76:K76" si="7">SUM(C47:C75)</f>
        <v>7017</v>
      </c>
      <c r="D76" s="1725">
        <f t="shared" si="7"/>
        <v>3688</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1237</v>
      </c>
      <c r="B77" s="2138"/>
      <c r="C77" s="1725">
        <f t="shared" ref="C77:K77" si="8">C44-C76</f>
        <v>-3329</v>
      </c>
      <c r="D77" s="1725">
        <f t="shared" si="8"/>
        <v>-3688</v>
      </c>
      <c r="E77" s="1725">
        <f t="shared" si="8"/>
        <v>0</v>
      </c>
      <c r="F77" s="1725">
        <f t="shared" si="8"/>
        <v>7017</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616</v>
      </c>
      <c r="B78" s="2142"/>
      <c r="C78" s="1724">
        <f t="shared" ref="C78:K78" si="9">C20+C77</f>
        <v>71419</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2069</v>
      </c>
      <c r="B79" s="534"/>
      <c r="C79" s="478">
        <v>327282</v>
      </c>
      <c r="D79" s="535"/>
      <c r="E79" s="535"/>
      <c r="F79" s="535"/>
      <c r="G79" s="535"/>
      <c r="H79" s="535"/>
      <c r="I79" s="535"/>
      <c r="J79" s="535"/>
      <c r="K79" s="535"/>
      <c r="L79" s="347"/>
    </row>
    <row r="80" spans="1:12" x14ac:dyDescent="0.2">
      <c r="A80" s="2147" t="s">
        <v>1896</v>
      </c>
      <c r="B80" s="2148"/>
      <c r="C80" s="467"/>
      <c r="D80" s="467"/>
      <c r="E80" s="467"/>
      <c r="F80" s="467"/>
      <c r="G80" s="467"/>
      <c r="H80" s="467"/>
      <c r="I80" s="467"/>
      <c r="J80" s="467"/>
      <c r="K80" s="467"/>
      <c r="L80" s="347"/>
    </row>
    <row r="81" spans="1:12" ht="13.5" thickBot="1" x14ac:dyDescent="0.25">
      <c r="A81" s="2139" t="s">
        <v>2070</v>
      </c>
      <c r="B81" s="2140"/>
      <c r="C81" s="1710">
        <f>(SUM(C78:C80))</f>
        <v>398701</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95" customHeight="1" thickTop="1" thickBot="1" x14ac:dyDescent="0.25">
      <c r="A82" s="536" t="s">
        <v>359</v>
      </c>
      <c r="B82" s="537"/>
      <c r="C82" s="538">
        <f>(C81-C79)</f>
        <v>71419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360</v>
      </c>
      <c r="B83" s="464"/>
      <c r="C83" s="540">
        <f>C82/C81</f>
        <v>0.17912922214892865</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1" bottom="0.48"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1903</v>
      </c>
      <c r="B1" s="452"/>
      <c r="C1" s="453" t="s">
        <v>443</v>
      </c>
      <c r="D1" s="453" t="s">
        <v>444</v>
      </c>
      <c r="E1" s="453" t="s">
        <v>445</v>
      </c>
      <c r="F1" s="453" t="s">
        <v>446</v>
      </c>
      <c r="G1" s="453" t="s">
        <v>447</v>
      </c>
      <c r="H1" s="453" t="s">
        <v>448</v>
      </c>
      <c r="I1" s="453" t="s">
        <v>449</v>
      </c>
      <c r="J1" s="453" t="s">
        <v>450</v>
      </c>
      <c r="K1" s="453" t="s">
        <v>778</v>
      </c>
    </row>
    <row r="2" spans="1:12" ht="36" x14ac:dyDescent="0.2">
      <c r="A2" s="2144"/>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c r="D5" s="481"/>
      <c r="E5" s="466"/>
      <c r="F5" s="548"/>
      <c r="G5" s="466"/>
      <c r="H5" s="466"/>
      <c r="I5" s="466"/>
      <c r="J5" s="467"/>
      <c r="K5" s="466"/>
    </row>
    <row r="6" spans="1:12" ht="15" x14ac:dyDescent="0.2">
      <c r="A6" s="463" t="s">
        <v>1759</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431</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c r="D16" s="466"/>
      <c r="E16" s="466"/>
      <c r="F16" s="466"/>
      <c r="G16" s="466"/>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v>663432</v>
      </c>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663432</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0</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v>-13</v>
      </c>
      <c r="D65" s="466"/>
      <c r="E65" s="466"/>
      <c r="F65" s="467"/>
      <c r="G65" s="466"/>
      <c r="H65" s="466"/>
      <c r="I65" s="466"/>
      <c r="J65" s="467"/>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-13</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567</v>
      </c>
      <c r="B75" s="1731"/>
      <c r="C75" s="1710">
        <f>SUM(C69:C74)</f>
        <v>0</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c r="D107" s="466">
        <v>22781</v>
      </c>
      <c r="E107" s="466"/>
      <c r="F107" s="466">
        <v>20038</v>
      </c>
      <c r="G107" s="466"/>
      <c r="H107" s="466"/>
      <c r="I107" s="466"/>
      <c r="J107" s="467"/>
      <c r="K107" s="466"/>
    </row>
    <row r="108" spans="1:12" ht="12.75" customHeight="1" thickBot="1" x14ac:dyDescent="0.25">
      <c r="A108" s="1730" t="s">
        <v>506</v>
      </c>
      <c r="B108" s="1734"/>
      <c r="C108" s="1729">
        <f>SUM(C95:C107)</f>
        <v>0</v>
      </c>
      <c r="D108" s="1729">
        <f t="shared" ref="D108:K108" si="3">SUM(D95:D107)</f>
        <v>22781</v>
      </c>
      <c r="E108" s="1729">
        <f t="shared" si="3"/>
        <v>0</v>
      </c>
      <c r="F108" s="1729">
        <f t="shared" si="3"/>
        <v>20038</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589</v>
      </c>
      <c r="C109" s="1737">
        <f t="shared" ref="C109:K109" si="4">SUM(C12,C18,C40,C63,C67,C75,C82,C93,C108,)</f>
        <v>663419</v>
      </c>
      <c r="D109" s="1737">
        <f t="shared" si="4"/>
        <v>22781</v>
      </c>
      <c r="E109" s="1737">
        <f t="shared" si="4"/>
        <v>0</v>
      </c>
      <c r="F109" s="1737">
        <f t="shared" si="4"/>
        <v>20038</v>
      </c>
      <c r="G109" s="1737">
        <f t="shared" si="4"/>
        <v>0</v>
      </c>
      <c r="H109" s="1737">
        <f t="shared" si="4"/>
        <v>0</v>
      </c>
      <c r="I109" s="1737">
        <f t="shared" si="4"/>
        <v>0</v>
      </c>
      <c r="J109" s="1737">
        <f t="shared" si="4"/>
        <v>0</v>
      </c>
      <c r="K109" s="1724">
        <f t="shared" si="4"/>
        <v>0</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v>252262</v>
      </c>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252262</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c r="D125" s="561"/>
      <c r="E125" s="468"/>
      <c r="F125" s="466"/>
      <c r="G125" s="468"/>
      <c r="H125" s="468"/>
      <c r="I125" s="468"/>
      <c r="J125" s="468"/>
      <c r="K125" s="468"/>
    </row>
    <row r="126" spans="1:11" ht="12.75" customHeight="1" x14ac:dyDescent="0.2">
      <c r="A126" s="463" t="s">
        <v>920</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0</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0</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c r="G151" s="467"/>
      <c r="H151" s="468"/>
      <c r="I151" s="468"/>
      <c r="J151" s="468"/>
      <c r="K151" s="468"/>
    </row>
    <row r="152" spans="1:11" ht="12.75" customHeight="1" x14ac:dyDescent="0.2">
      <c r="A152" s="463" t="s">
        <v>1115</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416</v>
      </c>
      <c r="B172" s="2164"/>
      <c r="C172" s="1744">
        <f t="shared" ref="C172:K172" si="6">SUM(C131,C140,C144,C145:C149,C154,C155:C170,C171)</f>
        <v>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0</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65" t="s">
        <v>1570</v>
      </c>
      <c r="B175" s="2166"/>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69" t="s">
        <v>1762</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1761</v>
      </c>
      <c r="B179" s="2174"/>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1" t="s">
        <v>816</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7" customHeight="1" thickTop="1" x14ac:dyDescent="0.2">
      <c r="A185" s="2167" t="s">
        <v>1904</v>
      </c>
      <c r="B185" s="2168"/>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0</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0</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c r="D270" s="576"/>
      <c r="E270" s="468"/>
      <c r="F270" s="576"/>
      <c r="G270" s="576"/>
      <c r="H270" s="468"/>
      <c r="I270" s="468"/>
      <c r="J270" s="468"/>
      <c r="K270" s="468"/>
    </row>
    <row r="271" spans="1:11" ht="12.75" customHeight="1" thickTop="1" thickBot="1" x14ac:dyDescent="0.25">
      <c r="A271" s="463" t="s">
        <v>393</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915681</v>
      </c>
      <c r="D275" s="1737">
        <f t="shared" si="12"/>
        <v>22781</v>
      </c>
      <c r="E275" s="1737">
        <f t="shared" si="12"/>
        <v>0</v>
      </c>
      <c r="F275" s="1737">
        <f t="shared" si="12"/>
        <v>20038</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orizontalCentered="1" headings="1" gridLines="1"/>
  <pageMargins left="0.25" right="0.15" top="0.66" bottom="0.6" header="0.4" footer="0.4"/>
  <pageSetup scale="68"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&amp;F&amp;C&amp;"Open Sans,Regular"See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38" activePane="bottomLeft" state="frozen"/>
      <selection activeCell="A47" sqref="A47"/>
      <selection pane="bottomLeft" activeCell="E160" sqref="E160"/>
    </sheetView>
  </sheetViews>
  <sheetFormatPr defaultColWidth="9.140625" defaultRowHeight="12.75" x14ac:dyDescent="0.2"/>
  <cols>
    <col min="1" max="1" width="48.42578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42578125" style="210" customWidth="1"/>
    <col min="14" max="14" width="9.140625" style="210"/>
    <col min="15" max="16384" width="9.140625" style="329"/>
  </cols>
  <sheetData>
    <row r="1" spans="1:14" x14ac:dyDescent="0.2">
      <c r="A1" s="2143"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5"/>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1" t="s">
        <v>313</v>
      </c>
      <c r="B3" s="2182"/>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v>20761</v>
      </c>
      <c r="D5" s="466">
        <v>301</v>
      </c>
      <c r="E5" s="466"/>
      <c r="F5" s="466"/>
      <c r="G5" s="466"/>
      <c r="H5" s="466"/>
      <c r="I5" s="467"/>
      <c r="J5" s="467"/>
      <c r="K5" s="1693">
        <f>SUM(C5:J5)</f>
        <v>21062</v>
      </c>
      <c r="L5" s="466">
        <v>26298</v>
      </c>
    </row>
    <row r="6" spans="1:14" x14ac:dyDescent="0.2">
      <c r="A6" s="1526" t="s">
        <v>1506</v>
      </c>
      <c r="B6" s="615" t="s">
        <v>1504</v>
      </c>
      <c r="C6" s="477"/>
      <c r="D6" s="477"/>
      <c r="E6" s="466"/>
      <c r="F6" s="477"/>
      <c r="G6" s="477"/>
      <c r="H6" s="477"/>
      <c r="I6" s="477"/>
      <c r="J6" s="477"/>
      <c r="K6" s="1693">
        <f>SUM(C6,E6)</f>
        <v>0</v>
      </c>
      <c r="L6" s="466"/>
    </row>
    <row r="7" spans="1:14" x14ac:dyDescent="0.2">
      <c r="A7" s="1526" t="s">
        <v>165</v>
      </c>
      <c r="B7" s="615" t="s">
        <v>1022</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743</v>
      </c>
      <c r="B9" s="615" t="s">
        <v>1023</v>
      </c>
      <c r="C9" s="467"/>
      <c r="D9" s="467"/>
      <c r="E9" s="467"/>
      <c r="F9" s="467"/>
      <c r="G9" s="467"/>
      <c r="H9" s="467"/>
      <c r="I9" s="467"/>
      <c r="J9" s="467"/>
      <c r="K9" s="1693">
        <f t="shared" si="0"/>
        <v>0</v>
      </c>
      <c r="L9" s="466"/>
    </row>
    <row r="10" spans="1:14" x14ac:dyDescent="0.2">
      <c r="A10" s="1526" t="s">
        <v>744</v>
      </c>
      <c r="B10" s="615">
        <v>1250</v>
      </c>
      <c r="C10" s="466"/>
      <c r="D10" s="466"/>
      <c r="E10" s="466"/>
      <c r="F10" s="466"/>
      <c r="G10" s="466"/>
      <c r="H10" s="466"/>
      <c r="I10" s="467"/>
      <c r="J10" s="467"/>
      <c r="K10" s="1693">
        <f t="shared" si="0"/>
        <v>0</v>
      </c>
      <c r="L10" s="466"/>
    </row>
    <row r="11" spans="1:14" x14ac:dyDescent="0.2">
      <c r="A11" s="1526" t="s">
        <v>1190</v>
      </c>
      <c r="B11" s="615" t="s">
        <v>163</v>
      </c>
      <c r="C11" s="467"/>
      <c r="D11" s="467"/>
      <c r="E11" s="467"/>
      <c r="F11" s="467"/>
      <c r="G11" s="467"/>
      <c r="H11" s="467"/>
      <c r="I11" s="467"/>
      <c r="J11" s="467"/>
      <c r="K11" s="1693">
        <f t="shared" si="0"/>
        <v>0</v>
      </c>
      <c r="L11" s="466"/>
    </row>
    <row r="12" spans="1:14" x14ac:dyDescent="0.2">
      <c r="A12" s="1526" t="s">
        <v>1017</v>
      </c>
      <c r="B12" s="615">
        <v>1300</v>
      </c>
      <c r="C12" s="466"/>
      <c r="D12" s="466"/>
      <c r="E12" s="466"/>
      <c r="F12" s="466"/>
      <c r="G12" s="466"/>
      <c r="H12" s="466"/>
      <c r="I12" s="467"/>
      <c r="J12" s="467"/>
      <c r="K12" s="1693">
        <f t="shared" si="0"/>
        <v>0</v>
      </c>
      <c r="L12" s="466"/>
    </row>
    <row r="13" spans="1:14" x14ac:dyDescent="0.2">
      <c r="A13" s="1526" t="s">
        <v>745</v>
      </c>
      <c r="B13" s="615">
        <v>1400</v>
      </c>
      <c r="C13" s="466">
        <v>437100</v>
      </c>
      <c r="D13" s="466">
        <v>47289</v>
      </c>
      <c r="E13" s="466">
        <v>2037</v>
      </c>
      <c r="F13" s="466">
        <v>11741</v>
      </c>
      <c r="G13" s="466">
        <v>30041</v>
      </c>
      <c r="H13" s="466"/>
      <c r="I13" s="467"/>
      <c r="J13" s="467"/>
      <c r="K13" s="1693">
        <f t="shared" si="0"/>
        <v>528208</v>
      </c>
      <c r="L13" s="466">
        <v>707935</v>
      </c>
    </row>
    <row r="14" spans="1:14" x14ac:dyDescent="0.2">
      <c r="A14" s="1526" t="s">
        <v>1018</v>
      </c>
      <c r="B14" s="615">
        <v>1500</v>
      </c>
      <c r="C14" s="466"/>
      <c r="D14" s="466"/>
      <c r="E14" s="466"/>
      <c r="F14" s="466"/>
      <c r="G14" s="466"/>
      <c r="H14" s="466"/>
      <c r="I14" s="467"/>
      <c r="J14" s="467"/>
      <c r="K14" s="1693">
        <f t="shared" si="0"/>
        <v>0</v>
      </c>
      <c r="L14" s="466"/>
    </row>
    <row r="15" spans="1:14" x14ac:dyDescent="0.2">
      <c r="A15" s="1526" t="s">
        <v>1019</v>
      </c>
      <c r="B15" s="615">
        <v>1600</v>
      </c>
      <c r="C15" s="466"/>
      <c r="D15" s="466"/>
      <c r="E15" s="466"/>
      <c r="F15" s="466"/>
      <c r="G15" s="466"/>
      <c r="H15" s="466"/>
      <c r="I15" s="467"/>
      <c r="J15" s="467"/>
      <c r="K15" s="1693">
        <f t="shared" si="0"/>
        <v>0</v>
      </c>
      <c r="L15" s="466"/>
    </row>
    <row r="16" spans="1:14" x14ac:dyDescent="0.2">
      <c r="A16" s="1526" t="s">
        <v>1042</v>
      </c>
      <c r="B16" s="615" t="s">
        <v>442</v>
      </c>
      <c r="C16" s="466"/>
      <c r="D16" s="466"/>
      <c r="E16" s="466"/>
      <c r="F16" s="466"/>
      <c r="G16" s="466"/>
      <c r="H16" s="466"/>
      <c r="I16" s="467"/>
      <c r="J16" s="467"/>
      <c r="K16" s="1693">
        <f t="shared" si="0"/>
        <v>0</v>
      </c>
      <c r="L16" s="466"/>
    </row>
    <row r="17" spans="1:12" x14ac:dyDescent="0.2">
      <c r="A17" s="1526" t="s">
        <v>746</v>
      </c>
      <c r="B17" s="615" t="s">
        <v>164</v>
      </c>
      <c r="C17" s="467"/>
      <c r="D17" s="467"/>
      <c r="E17" s="467"/>
      <c r="F17" s="467"/>
      <c r="G17" s="467"/>
      <c r="H17" s="467"/>
      <c r="I17" s="467"/>
      <c r="J17" s="467"/>
      <c r="K17" s="1693">
        <f t="shared" si="0"/>
        <v>0</v>
      </c>
      <c r="L17" s="466"/>
    </row>
    <row r="18" spans="1:12" x14ac:dyDescent="0.2">
      <c r="A18" s="1526" t="s">
        <v>1146</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760</v>
      </c>
      <c r="B20" s="603" t="s">
        <v>747</v>
      </c>
      <c r="C20" s="477"/>
      <c r="D20" s="477"/>
      <c r="E20" s="477"/>
      <c r="F20" s="477"/>
      <c r="G20" s="477"/>
      <c r="H20" s="474"/>
      <c r="I20" s="617"/>
      <c r="J20" s="475"/>
      <c r="K20" s="1693">
        <f t="shared" si="0"/>
        <v>0</v>
      </c>
      <c r="L20" s="471"/>
    </row>
    <row r="21" spans="1:12" x14ac:dyDescent="0.2">
      <c r="A21" s="1527" t="s">
        <v>761</v>
      </c>
      <c r="B21" s="603" t="s">
        <v>748</v>
      </c>
      <c r="C21" s="477"/>
      <c r="D21" s="477"/>
      <c r="E21" s="477"/>
      <c r="F21" s="477"/>
      <c r="G21" s="477"/>
      <c r="H21" s="474"/>
      <c r="I21" s="617"/>
      <c r="J21" s="477"/>
      <c r="K21" s="1693">
        <f t="shared" si="0"/>
        <v>0</v>
      </c>
      <c r="L21" s="471"/>
    </row>
    <row r="22" spans="1:12" x14ac:dyDescent="0.2">
      <c r="A22" s="1527" t="s">
        <v>762</v>
      </c>
      <c r="B22" s="603" t="s">
        <v>749</v>
      </c>
      <c r="C22" s="477"/>
      <c r="D22" s="477"/>
      <c r="E22" s="477"/>
      <c r="F22" s="477"/>
      <c r="G22" s="477"/>
      <c r="H22" s="474"/>
      <c r="I22" s="617"/>
      <c r="J22" s="477"/>
      <c r="K22" s="1693">
        <f t="shared" si="0"/>
        <v>0</v>
      </c>
      <c r="L22" s="471"/>
    </row>
    <row r="23" spans="1:12" x14ac:dyDescent="0.2">
      <c r="A23" s="1527" t="s">
        <v>763</v>
      </c>
      <c r="B23" s="603" t="s">
        <v>750</v>
      </c>
      <c r="C23" s="477"/>
      <c r="D23" s="477"/>
      <c r="E23" s="477"/>
      <c r="F23" s="477"/>
      <c r="G23" s="477"/>
      <c r="H23" s="474"/>
      <c r="I23" s="617"/>
      <c r="J23" s="477"/>
      <c r="K23" s="1693">
        <f t="shared" si="0"/>
        <v>0</v>
      </c>
      <c r="L23" s="471"/>
    </row>
    <row r="24" spans="1:12" ht="12.75" customHeight="1" x14ac:dyDescent="0.2">
      <c r="A24" s="1527" t="s">
        <v>764</v>
      </c>
      <c r="B24" s="603" t="s">
        <v>751</v>
      </c>
      <c r="C24" s="477"/>
      <c r="D24" s="477"/>
      <c r="E24" s="477"/>
      <c r="F24" s="477"/>
      <c r="G24" s="477"/>
      <c r="H24" s="474"/>
      <c r="I24" s="617"/>
      <c r="J24" s="477"/>
      <c r="K24" s="1693">
        <f t="shared" si="0"/>
        <v>0</v>
      </c>
      <c r="L24" s="471"/>
    </row>
    <row r="25" spans="1:12" ht="12.75" customHeight="1" x14ac:dyDescent="0.2">
      <c r="A25" s="1527" t="s">
        <v>833</v>
      </c>
      <c r="B25" s="603" t="s">
        <v>752</v>
      </c>
      <c r="C25" s="477"/>
      <c r="D25" s="477"/>
      <c r="E25" s="477"/>
      <c r="F25" s="477"/>
      <c r="G25" s="477"/>
      <c r="H25" s="474"/>
      <c r="I25" s="617"/>
      <c r="J25" s="477"/>
      <c r="K25" s="1693">
        <f t="shared" si="0"/>
        <v>0</v>
      </c>
      <c r="L25" s="471"/>
    </row>
    <row r="26" spans="1:12" x14ac:dyDescent="0.2">
      <c r="A26" s="1527" t="s">
        <v>641</v>
      </c>
      <c r="B26" s="603" t="s">
        <v>753</v>
      </c>
      <c r="C26" s="477"/>
      <c r="D26" s="477"/>
      <c r="E26" s="477"/>
      <c r="F26" s="477"/>
      <c r="G26" s="477"/>
      <c r="H26" s="474"/>
      <c r="I26" s="617"/>
      <c r="J26" s="477"/>
      <c r="K26" s="1693">
        <f t="shared" si="0"/>
        <v>0</v>
      </c>
      <c r="L26" s="471"/>
    </row>
    <row r="27" spans="1:12" x14ac:dyDescent="0.2">
      <c r="A27" s="1527" t="s">
        <v>642</v>
      </c>
      <c r="B27" s="603" t="s">
        <v>754</v>
      </c>
      <c r="C27" s="477"/>
      <c r="D27" s="477"/>
      <c r="E27" s="477"/>
      <c r="F27" s="477"/>
      <c r="G27" s="477"/>
      <c r="H27" s="474"/>
      <c r="I27" s="617"/>
      <c r="J27" s="477"/>
      <c r="K27" s="1693">
        <f t="shared" si="0"/>
        <v>0</v>
      </c>
      <c r="L27" s="471"/>
    </row>
    <row r="28" spans="1:12" x14ac:dyDescent="0.2">
      <c r="A28" s="1527" t="s">
        <v>152</v>
      </c>
      <c r="B28" s="603" t="s">
        <v>755</v>
      </c>
      <c r="C28" s="477"/>
      <c r="D28" s="477"/>
      <c r="E28" s="477"/>
      <c r="F28" s="477"/>
      <c r="G28" s="477"/>
      <c r="H28" s="474"/>
      <c r="I28" s="617"/>
      <c r="J28" s="477"/>
      <c r="K28" s="1693">
        <f t="shared" si="0"/>
        <v>0</v>
      </c>
      <c r="L28" s="471"/>
    </row>
    <row r="29" spans="1:12" x14ac:dyDescent="0.2">
      <c r="A29" s="1527" t="s">
        <v>153</v>
      </c>
      <c r="B29" s="603" t="s">
        <v>756</v>
      </c>
      <c r="C29" s="477"/>
      <c r="D29" s="477"/>
      <c r="E29" s="477"/>
      <c r="F29" s="477"/>
      <c r="G29" s="477"/>
      <c r="H29" s="474"/>
      <c r="I29" s="617"/>
      <c r="J29" s="477"/>
      <c r="K29" s="1693">
        <f t="shared" si="0"/>
        <v>0</v>
      </c>
      <c r="L29" s="471"/>
    </row>
    <row r="30" spans="1:12" x14ac:dyDescent="0.2">
      <c r="A30" s="1527" t="s">
        <v>154</v>
      </c>
      <c r="B30" s="603" t="s">
        <v>757</v>
      </c>
      <c r="C30" s="477"/>
      <c r="D30" s="477"/>
      <c r="E30" s="477"/>
      <c r="F30" s="477"/>
      <c r="G30" s="477"/>
      <c r="H30" s="474"/>
      <c r="I30" s="617"/>
      <c r="J30" s="477"/>
      <c r="K30" s="1693">
        <f t="shared" si="0"/>
        <v>0</v>
      </c>
      <c r="L30" s="471"/>
    </row>
    <row r="31" spans="1:12" x14ac:dyDescent="0.2">
      <c r="A31" s="1527" t="s">
        <v>155</v>
      </c>
      <c r="B31" s="603" t="s">
        <v>758</v>
      </c>
      <c r="C31" s="477"/>
      <c r="D31" s="477"/>
      <c r="E31" s="477"/>
      <c r="F31" s="477"/>
      <c r="G31" s="477"/>
      <c r="H31" s="474"/>
      <c r="I31" s="617"/>
      <c r="J31" s="477"/>
      <c r="K31" s="1693">
        <f t="shared" si="0"/>
        <v>0</v>
      </c>
      <c r="L31" s="471"/>
    </row>
    <row r="32" spans="1:12" x14ac:dyDescent="0.2">
      <c r="A32" s="1528" t="s">
        <v>1189</v>
      </c>
      <c r="B32" s="615" t="s">
        <v>759</v>
      </c>
      <c r="C32" s="477"/>
      <c r="D32" s="477"/>
      <c r="E32" s="477"/>
      <c r="F32" s="477"/>
      <c r="G32" s="477"/>
      <c r="H32" s="474"/>
      <c r="I32" s="617"/>
      <c r="J32" s="480"/>
      <c r="K32" s="1693">
        <f t="shared" si="0"/>
        <v>0</v>
      </c>
      <c r="L32" s="471"/>
    </row>
    <row r="33" spans="1:14" ht="12.75" customHeight="1" thickBot="1" x14ac:dyDescent="0.25">
      <c r="A33" s="1690" t="s">
        <v>1765</v>
      </c>
      <c r="B33" s="1691" t="s">
        <v>589</v>
      </c>
      <c r="C33" s="1692">
        <f>SUM(C5:C32)</f>
        <v>457861</v>
      </c>
      <c r="D33" s="1692">
        <f t="shared" ref="D33:L33" si="1">SUM(D5:D32)</f>
        <v>47590</v>
      </c>
      <c r="E33" s="1692">
        <f t="shared" si="1"/>
        <v>2037</v>
      </c>
      <c r="F33" s="1692">
        <f t="shared" si="1"/>
        <v>11741</v>
      </c>
      <c r="G33" s="1692">
        <f t="shared" si="1"/>
        <v>30041</v>
      </c>
      <c r="H33" s="1692">
        <f t="shared" si="1"/>
        <v>0</v>
      </c>
      <c r="I33" s="1692">
        <f t="shared" si="1"/>
        <v>0</v>
      </c>
      <c r="J33" s="1692">
        <f t="shared" si="1"/>
        <v>0</v>
      </c>
      <c r="K33" s="1692">
        <f t="shared" si="1"/>
        <v>549270</v>
      </c>
      <c r="L33" s="1692">
        <f t="shared" si="1"/>
        <v>734233</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c r="D36" s="481"/>
      <c r="E36" s="481"/>
      <c r="F36" s="481"/>
      <c r="G36" s="481"/>
      <c r="H36" s="481"/>
      <c r="I36" s="467"/>
      <c r="J36" s="467"/>
      <c r="K36" s="1693">
        <f t="shared" ref="K36:K41" si="2">SUM(C36:J36)</f>
        <v>0</v>
      </c>
      <c r="L36" s="466"/>
    </row>
    <row r="37" spans="1:14" x14ac:dyDescent="0.2">
      <c r="A37" s="1526" t="s">
        <v>1149</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1766</v>
      </c>
      <c r="B41" s="615">
        <v>2190</v>
      </c>
      <c r="C41" s="466"/>
      <c r="D41" s="466"/>
      <c r="E41" s="466"/>
      <c r="F41" s="466"/>
      <c r="G41" s="466"/>
      <c r="H41" s="466"/>
      <c r="I41" s="467"/>
      <c r="J41" s="467"/>
      <c r="K41" s="1693">
        <f t="shared" si="2"/>
        <v>0</v>
      </c>
      <c r="L41" s="466"/>
    </row>
    <row r="42" spans="1:14" ht="12.75" customHeight="1" thickBot="1" x14ac:dyDescent="0.25">
      <c r="A42" s="1690" t="s">
        <v>579</v>
      </c>
      <c r="B42" s="1691" t="s">
        <v>738</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0</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c r="D44" s="481"/>
      <c r="E44" s="481"/>
      <c r="F44" s="481">
        <v>40505</v>
      </c>
      <c r="G44" s="481"/>
      <c r="H44" s="481"/>
      <c r="I44" s="467"/>
      <c r="J44" s="467"/>
      <c r="K44" s="1694">
        <f>SUM(C44:J44)</f>
        <v>40505</v>
      </c>
      <c r="L44" s="481">
        <v>11000</v>
      </c>
    </row>
    <row r="45" spans="1:14" x14ac:dyDescent="0.2">
      <c r="A45" s="1526" t="s">
        <v>867</v>
      </c>
      <c r="B45" s="615">
        <v>2220</v>
      </c>
      <c r="C45" s="466"/>
      <c r="D45" s="466"/>
      <c r="E45" s="466"/>
      <c r="F45" s="466"/>
      <c r="G45" s="466"/>
      <c r="H45" s="466"/>
      <c r="I45" s="467"/>
      <c r="J45" s="467"/>
      <c r="K45" s="1694">
        <f>SUM(C45:J45)</f>
        <v>0</v>
      </c>
      <c r="L45" s="466"/>
    </row>
    <row r="46" spans="1:14" x14ac:dyDescent="0.2">
      <c r="A46" s="1526" t="s">
        <v>868</v>
      </c>
      <c r="B46" s="615">
        <v>2230</v>
      </c>
      <c r="C46" s="466"/>
      <c r="D46" s="466"/>
      <c r="E46" s="466"/>
      <c r="F46" s="466"/>
      <c r="G46" s="466"/>
      <c r="H46" s="466"/>
      <c r="I46" s="467"/>
      <c r="J46" s="467"/>
      <c r="K46" s="1694">
        <f>SUM(C46:J46)</f>
        <v>0</v>
      </c>
      <c r="L46" s="466"/>
    </row>
    <row r="47" spans="1:14" ht="12.75" customHeight="1" thickBot="1" x14ac:dyDescent="0.25">
      <c r="A47" s="1690" t="s">
        <v>580</v>
      </c>
      <c r="B47" s="1691" t="s">
        <v>32</v>
      </c>
      <c r="C47" s="1692">
        <f>SUM(C44:C46)</f>
        <v>0</v>
      </c>
      <c r="D47" s="1692">
        <f t="shared" ref="D47:K47" si="4">SUM(D44:D46)</f>
        <v>0</v>
      </c>
      <c r="E47" s="1692">
        <f t="shared" si="4"/>
        <v>0</v>
      </c>
      <c r="F47" s="1692">
        <f t="shared" si="4"/>
        <v>40505</v>
      </c>
      <c r="G47" s="1692">
        <f t="shared" si="4"/>
        <v>0</v>
      </c>
      <c r="H47" s="1692">
        <f t="shared" si="4"/>
        <v>0</v>
      </c>
      <c r="I47" s="1692">
        <f t="shared" si="4"/>
        <v>0</v>
      </c>
      <c r="J47" s="1692">
        <f t="shared" si="4"/>
        <v>0</v>
      </c>
      <c r="K47" s="1692">
        <f t="shared" si="4"/>
        <v>40505</v>
      </c>
      <c r="L47" s="1692">
        <f>SUM(L44:L46)</f>
        <v>11000</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c r="D49" s="481">
        <v>9210</v>
      </c>
      <c r="E49" s="481"/>
      <c r="F49" s="481"/>
      <c r="G49" s="481"/>
      <c r="H49" s="481"/>
      <c r="I49" s="467"/>
      <c r="J49" s="467"/>
      <c r="K49" s="1694">
        <f>SUM(C49:J49)</f>
        <v>9210</v>
      </c>
      <c r="L49" s="481">
        <v>10600</v>
      </c>
    </row>
    <row r="50" spans="1:14" x14ac:dyDescent="0.2">
      <c r="A50" s="1526" t="s">
        <v>870</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314</v>
      </c>
      <c r="B52" s="628" t="s">
        <v>382</v>
      </c>
      <c r="C52" s="474"/>
      <c r="D52" s="474"/>
      <c r="E52" s="474"/>
      <c r="F52" s="474"/>
      <c r="G52" s="474"/>
      <c r="H52" s="474"/>
      <c r="I52" s="474"/>
      <c r="J52" s="474"/>
      <c r="K52" s="1694">
        <f>SUM(C52:J52)</f>
        <v>0</v>
      </c>
      <c r="L52" s="474"/>
    </row>
    <row r="53" spans="1:14" ht="12.75" customHeight="1" thickBot="1" x14ac:dyDescent="0.25">
      <c r="A53" s="1690" t="s">
        <v>739</v>
      </c>
      <c r="B53" s="1691" t="s">
        <v>33</v>
      </c>
      <c r="C53" s="1692">
        <f>SUM(C49:C52)</f>
        <v>0</v>
      </c>
      <c r="D53" s="1692">
        <f t="shared" ref="D53:L53" si="5">SUM(D49:D52)</f>
        <v>9210</v>
      </c>
      <c r="E53" s="1692">
        <f t="shared" si="5"/>
        <v>0</v>
      </c>
      <c r="F53" s="1692">
        <f t="shared" si="5"/>
        <v>0</v>
      </c>
      <c r="G53" s="1692">
        <f t="shared" si="5"/>
        <v>0</v>
      </c>
      <c r="H53" s="1692">
        <f t="shared" si="5"/>
        <v>0</v>
      </c>
      <c r="I53" s="1692">
        <f t="shared" si="5"/>
        <v>0</v>
      </c>
      <c r="J53" s="1692">
        <f t="shared" si="5"/>
        <v>0</v>
      </c>
      <c r="K53" s="1692">
        <f t="shared" si="5"/>
        <v>9210</v>
      </c>
      <c r="L53" s="1692">
        <f t="shared" si="5"/>
        <v>10600</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f>151197</f>
        <v>151197</v>
      </c>
      <c r="D55" s="481">
        <v>27684</v>
      </c>
      <c r="E55" s="481">
        <v>700</v>
      </c>
      <c r="F55" s="481">
        <v>1011</v>
      </c>
      <c r="G55" s="481"/>
      <c r="H55" s="481"/>
      <c r="I55" s="467"/>
      <c r="J55" s="467"/>
      <c r="K55" s="1694">
        <f>SUM(C55:J55)</f>
        <v>180592</v>
      </c>
      <c r="L55" s="481">
        <v>234508</v>
      </c>
    </row>
    <row r="56" spans="1:14" ht="12.75" customHeight="1" x14ac:dyDescent="0.2">
      <c r="A56" s="1530" t="s">
        <v>392</v>
      </c>
      <c r="B56" s="629">
        <v>2490</v>
      </c>
      <c r="C56" s="466"/>
      <c r="D56" s="466"/>
      <c r="E56" s="466"/>
      <c r="F56" s="466"/>
      <c r="G56" s="466"/>
      <c r="H56" s="466"/>
      <c r="I56" s="467"/>
      <c r="J56" s="467"/>
      <c r="K56" s="1694">
        <f>SUM(C56:J56)</f>
        <v>0</v>
      </c>
      <c r="L56" s="466"/>
    </row>
    <row r="57" spans="1:14" s="343" customFormat="1" ht="12.75" customHeight="1" thickBot="1" x14ac:dyDescent="0.25">
      <c r="A57" s="1690" t="s">
        <v>279</v>
      </c>
      <c r="B57" s="1695" t="s">
        <v>34</v>
      </c>
      <c r="C57" s="1696">
        <f>SUM(C55:C56)</f>
        <v>151197</v>
      </c>
      <c r="D57" s="1696">
        <f t="shared" ref="D57:K57" si="6">SUM(D55:D56)</f>
        <v>27684</v>
      </c>
      <c r="E57" s="1696">
        <f t="shared" si="6"/>
        <v>700</v>
      </c>
      <c r="F57" s="1696">
        <f t="shared" si="6"/>
        <v>1011</v>
      </c>
      <c r="G57" s="1696">
        <f t="shared" si="6"/>
        <v>0</v>
      </c>
      <c r="H57" s="1696">
        <f t="shared" si="6"/>
        <v>0</v>
      </c>
      <c r="I57" s="1696">
        <f t="shared" si="6"/>
        <v>0</v>
      </c>
      <c r="J57" s="1696">
        <f t="shared" si="6"/>
        <v>0</v>
      </c>
      <c r="K57" s="1696">
        <f t="shared" si="6"/>
        <v>180592</v>
      </c>
      <c r="L57" s="1692">
        <f>SUM(L55:L56)</f>
        <v>234508</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481</v>
      </c>
      <c r="B60" s="615">
        <v>2520</v>
      </c>
      <c r="C60" s="466"/>
      <c r="D60" s="466"/>
      <c r="E60" s="466"/>
      <c r="F60" s="466"/>
      <c r="G60" s="466"/>
      <c r="H60" s="466">
        <v>-500</v>
      </c>
      <c r="I60" s="467"/>
      <c r="J60" s="467"/>
      <c r="K60" s="1694">
        <f t="shared" si="7"/>
        <v>-500</v>
      </c>
      <c r="L60" s="466"/>
      <c r="M60" s="610"/>
      <c r="N60" s="610"/>
    </row>
    <row r="61" spans="1:14" s="343" customFormat="1" x14ac:dyDescent="0.2">
      <c r="A61" s="1526" t="s">
        <v>206</v>
      </c>
      <c r="B61" s="615">
        <v>2540</v>
      </c>
      <c r="C61" s="466">
        <f>46251-153</f>
        <v>46098</v>
      </c>
      <c r="D61" s="466">
        <f>15770-12</f>
        <v>15758</v>
      </c>
      <c r="E61" s="466"/>
      <c r="F61" s="466"/>
      <c r="G61" s="466"/>
      <c r="H61" s="466"/>
      <c r="I61" s="467"/>
      <c r="J61" s="467"/>
      <c r="K61" s="1694">
        <f t="shared" si="7"/>
        <v>61856</v>
      </c>
      <c r="L61" s="466">
        <v>19316</v>
      </c>
      <c r="M61" s="610"/>
      <c r="N61" s="610"/>
    </row>
    <row r="62" spans="1:14" s="343" customFormat="1" x14ac:dyDescent="0.2">
      <c r="A62" s="1526" t="s">
        <v>1008</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741</v>
      </c>
      <c r="B65" s="1691" t="s">
        <v>35</v>
      </c>
      <c r="C65" s="1692">
        <f>SUM(C59:C64)</f>
        <v>46098</v>
      </c>
      <c r="D65" s="1692">
        <f t="shared" ref="D65:L65" si="8">SUM(D59:D64)</f>
        <v>15758</v>
      </c>
      <c r="E65" s="1692">
        <f t="shared" si="8"/>
        <v>0</v>
      </c>
      <c r="F65" s="1692">
        <f t="shared" si="8"/>
        <v>0</v>
      </c>
      <c r="G65" s="1692">
        <f t="shared" si="8"/>
        <v>0</v>
      </c>
      <c r="H65" s="1692">
        <f t="shared" si="8"/>
        <v>-500</v>
      </c>
      <c r="I65" s="1692">
        <f t="shared" si="8"/>
        <v>0</v>
      </c>
      <c r="J65" s="1692">
        <f t="shared" si="8"/>
        <v>0</v>
      </c>
      <c r="K65" s="1692">
        <f t="shared" si="8"/>
        <v>61356</v>
      </c>
      <c r="L65" s="1692">
        <f t="shared" si="8"/>
        <v>19316</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c r="M67" s="610"/>
      <c r="N67" s="610"/>
    </row>
    <row r="68" spans="1:14" s="343" customFormat="1" x14ac:dyDescent="0.2">
      <c r="A68" s="1526" t="s">
        <v>626</v>
      </c>
      <c r="B68" s="615">
        <v>2620</v>
      </c>
      <c r="C68" s="466"/>
      <c r="D68" s="466"/>
      <c r="E68" s="466"/>
      <c r="F68" s="466"/>
      <c r="G68" s="466"/>
      <c r="H68" s="466"/>
      <c r="I68" s="467"/>
      <c r="J68" s="467"/>
      <c r="K68" s="1694">
        <f>SUM(C68:J68)</f>
        <v>0</v>
      </c>
      <c r="L68" s="466"/>
      <c r="M68" s="610"/>
      <c r="N68" s="610"/>
    </row>
    <row r="69" spans="1:14" s="343" customFormat="1" x14ac:dyDescent="0.2">
      <c r="A69" s="1526" t="s">
        <v>1119</v>
      </c>
      <c r="B69" s="615">
        <v>2630</v>
      </c>
      <c r="C69" s="466"/>
      <c r="D69" s="466"/>
      <c r="E69" s="466"/>
      <c r="F69" s="466"/>
      <c r="G69" s="466"/>
      <c r="H69" s="466"/>
      <c r="I69" s="467"/>
      <c r="J69" s="467"/>
      <c r="K69" s="1694">
        <f>SUM(C69:J69)</f>
        <v>0</v>
      </c>
      <c r="L69" s="466"/>
      <c r="M69" s="610"/>
      <c r="N69" s="610"/>
    </row>
    <row r="70" spans="1:14" s="343" customFormat="1" x14ac:dyDescent="0.2">
      <c r="A70" s="1526" t="s">
        <v>421</v>
      </c>
      <c r="B70" s="615">
        <v>2640</v>
      </c>
      <c r="C70" s="466"/>
      <c r="D70" s="466"/>
      <c r="E70" s="466"/>
      <c r="F70" s="466"/>
      <c r="G70" s="466"/>
      <c r="H70" s="466"/>
      <c r="I70" s="467"/>
      <c r="J70" s="467"/>
      <c r="K70" s="1694">
        <f>SUM(C70:J70)</f>
        <v>0</v>
      </c>
      <c r="L70" s="466"/>
      <c r="M70" s="610"/>
      <c r="N70" s="610"/>
    </row>
    <row r="71" spans="1:14" s="343" customFormat="1" x14ac:dyDescent="0.2">
      <c r="A71" s="1526" t="s">
        <v>422</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c r="M73" s="610"/>
      <c r="N73" s="610"/>
    </row>
    <row r="74" spans="1:14" ht="12.75" customHeight="1" thickTop="1" thickBot="1" x14ac:dyDescent="0.25">
      <c r="A74" s="1690" t="s">
        <v>863</v>
      </c>
      <c r="B74" s="1698">
        <v>2000</v>
      </c>
      <c r="C74" s="1699">
        <f>SUM(C42,C47,C53,C57,C65,C72,C73)</f>
        <v>197295</v>
      </c>
      <c r="D74" s="1699">
        <f t="shared" ref="D74:K74" si="10">SUM(D42,D47,D53,D57,D65,D72,D73)</f>
        <v>52652</v>
      </c>
      <c r="E74" s="1699">
        <f t="shared" si="10"/>
        <v>700</v>
      </c>
      <c r="F74" s="1699">
        <f t="shared" si="10"/>
        <v>41516</v>
      </c>
      <c r="G74" s="1699">
        <f t="shared" si="10"/>
        <v>0</v>
      </c>
      <c r="H74" s="1699">
        <f t="shared" si="10"/>
        <v>-500</v>
      </c>
      <c r="I74" s="1699">
        <f t="shared" si="10"/>
        <v>0</v>
      </c>
      <c r="J74" s="1699">
        <f t="shared" si="10"/>
        <v>0</v>
      </c>
      <c r="K74" s="1699">
        <f t="shared" si="10"/>
        <v>291663</v>
      </c>
      <c r="L74" s="1699">
        <f>SUM(L42,L47,L53,L57,L65,L72,L73)</f>
        <v>275424</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row>
    <row r="79" spans="1:14" x14ac:dyDescent="0.2">
      <c r="A79" s="1526" t="s">
        <v>320</v>
      </c>
      <c r="B79" s="615">
        <v>4120</v>
      </c>
      <c r="C79" s="617"/>
      <c r="D79" s="617"/>
      <c r="E79" s="466"/>
      <c r="F79" s="617"/>
      <c r="G79" s="617"/>
      <c r="H79" s="466"/>
      <c r="I79" s="477"/>
      <c r="J79" s="477"/>
      <c r="K79" s="1693">
        <f t="shared" si="11"/>
        <v>0</v>
      </c>
      <c r="L79" s="466"/>
    </row>
    <row r="80" spans="1:14" x14ac:dyDescent="0.2">
      <c r="A80" s="1526" t="s">
        <v>321</v>
      </c>
      <c r="B80" s="615">
        <v>4130</v>
      </c>
      <c r="C80" s="617"/>
      <c r="D80" s="617"/>
      <c r="E80" s="466"/>
      <c r="F80" s="617"/>
      <c r="G80" s="617"/>
      <c r="H80" s="466"/>
      <c r="I80" s="477"/>
      <c r="J80" s="477"/>
      <c r="K80" s="1693">
        <f t="shared" si="11"/>
        <v>0</v>
      </c>
      <c r="L80" s="466"/>
    </row>
    <row r="81" spans="1:12" x14ac:dyDescent="0.2">
      <c r="A81" s="1526" t="s">
        <v>719</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720</v>
      </c>
      <c r="B83" s="629">
        <v>4190</v>
      </c>
      <c r="C83" s="617"/>
      <c r="D83" s="617"/>
      <c r="E83" s="466"/>
      <c r="F83" s="617"/>
      <c r="G83" s="617"/>
      <c r="H83" s="466"/>
      <c r="I83" s="477"/>
      <c r="J83" s="477"/>
      <c r="K83" s="1693">
        <f t="shared" si="11"/>
        <v>0</v>
      </c>
      <c r="L83" s="466"/>
    </row>
    <row r="84" spans="1:12" ht="13.5" thickBot="1" x14ac:dyDescent="0.25">
      <c r="A84" s="1690" t="s">
        <v>1563</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721</v>
      </c>
      <c r="B86" s="638">
        <v>4220</v>
      </c>
      <c r="C86" s="617"/>
      <c r="D86" s="617"/>
      <c r="E86" s="639"/>
      <c r="F86" s="617"/>
      <c r="G86" s="617"/>
      <c r="H86" s="467"/>
      <c r="I86" s="477"/>
      <c r="J86" s="477"/>
      <c r="K86" s="1699">
        <f t="shared" ref="K86:K98" si="12">H86</f>
        <v>0</v>
      </c>
      <c r="L86" s="530"/>
    </row>
    <row r="87" spans="1:12" ht="14.25" thickTop="1" thickBot="1" x14ac:dyDescent="0.25">
      <c r="A87" s="1535" t="s">
        <v>722</v>
      </c>
      <c r="B87" s="640">
        <v>4230</v>
      </c>
      <c r="C87" s="617"/>
      <c r="D87" s="617"/>
      <c r="E87" s="639"/>
      <c r="F87" s="617"/>
      <c r="G87" s="617"/>
      <c r="H87" s="467"/>
      <c r="I87" s="477"/>
      <c r="J87" s="477"/>
      <c r="K87" s="1699">
        <f t="shared" si="12"/>
        <v>0</v>
      </c>
      <c r="L87" s="530"/>
    </row>
    <row r="88" spans="1:12" ht="12.75" customHeight="1" thickTop="1" thickBot="1" x14ac:dyDescent="0.25">
      <c r="A88" s="1535" t="s">
        <v>787</v>
      </c>
      <c r="B88" s="640">
        <v>4240</v>
      </c>
      <c r="C88" s="617"/>
      <c r="D88" s="617"/>
      <c r="E88" s="639"/>
      <c r="F88" s="617"/>
      <c r="G88" s="617"/>
      <c r="H88" s="467"/>
      <c r="I88" s="477"/>
      <c r="J88" s="477"/>
      <c r="K88" s="1699">
        <f t="shared" si="12"/>
        <v>0</v>
      </c>
      <c r="L88" s="530"/>
    </row>
    <row r="89" spans="1:12" ht="12.75" customHeight="1" thickTop="1" thickBot="1" x14ac:dyDescent="0.25">
      <c r="A89" s="1535" t="s">
        <v>723</v>
      </c>
      <c r="B89" s="640">
        <v>4270</v>
      </c>
      <c r="C89" s="617"/>
      <c r="D89" s="617"/>
      <c r="E89" s="639"/>
      <c r="F89" s="617"/>
      <c r="G89" s="617"/>
      <c r="H89" s="467"/>
      <c r="I89" s="477"/>
      <c r="J89" s="477"/>
      <c r="K89" s="1699">
        <f t="shared" si="12"/>
        <v>0</v>
      </c>
      <c r="L89" s="530"/>
    </row>
    <row r="90" spans="1:12" ht="12.75" customHeight="1" thickTop="1" thickBot="1" x14ac:dyDescent="0.25">
      <c r="A90" s="1535" t="s">
        <v>708</v>
      </c>
      <c r="B90" s="640">
        <v>4280</v>
      </c>
      <c r="C90" s="617"/>
      <c r="D90" s="617"/>
      <c r="E90" s="639"/>
      <c r="F90" s="617"/>
      <c r="G90" s="617"/>
      <c r="H90" s="467"/>
      <c r="I90" s="477"/>
      <c r="J90" s="477"/>
      <c r="K90" s="1699">
        <f t="shared" si="12"/>
        <v>0</v>
      </c>
      <c r="L90" s="530"/>
    </row>
    <row r="91" spans="1:12" ht="12.75" customHeight="1" thickTop="1" thickBot="1" x14ac:dyDescent="0.25">
      <c r="A91" s="1535" t="s">
        <v>709</v>
      </c>
      <c r="B91" s="640">
        <v>4290</v>
      </c>
      <c r="C91" s="617"/>
      <c r="D91" s="617"/>
      <c r="E91" s="639"/>
      <c r="F91" s="617"/>
      <c r="G91" s="617"/>
      <c r="H91" s="467"/>
      <c r="I91" s="477"/>
      <c r="J91" s="477"/>
      <c r="K91" s="1699">
        <f t="shared" si="12"/>
        <v>0</v>
      </c>
      <c r="L91" s="530"/>
    </row>
    <row r="92" spans="1:12" ht="14.25" thickTop="1" thickBot="1" x14ac:dyDescent="0.25">
      <c r="A92" s="1702" t="s">
        <v>1639</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710</v>
      </c>
      <c r="B93" s="641">
        <v>4310</v>
      </c>
      <c r="C93" s="617"/>
      <c r="D93" s="617"/>
      <c r="E93" s="639"/>
      <c r="F93" s="617"/>
      <c r="G93" s="617"/>
      <c r="H93" s="642"/>
      <c r="I93" s="477"/>
      <c r="J93" s="477"/>
      <c r="K93" s="1699">
        <f t="shared" si="12"/>
        <v>0</v>
      </c>
      <c r="L93" s="532"/>
    </row>
    <row r="94" spans="1:12" ht="12.75" customHeight="1" thickTop="1" thickBot="1" x14ac:dyDescent="0.25">
      <c r="A94" s="1535" t="s">
        <v>711</v>
      </c>
      <c r="B94" s="640">
        <v>4320</v>
      </c>
      <c r="C94" s="617"/>
      <c r="D94" s="617"/>
      <c r="E94" s="639"/>
      <c r="F94" s="617"/>
      <c r="G94" s="617"/>
      <c r="H94" s="467"/>
      <c r="I94" s="477"/>
      <c r="J94" s="477"/>
      <c r="K94" s="1699">
        <f t="shared" si="12"/>
        <v>0</v>
      </c>
      <c r="L94" s="530"/>
    </row>
    <row r="95" spans="1:12" ht="15" customHeight="1" thickTop="1" thickBot="1" x14ac:dyDescent="0.25">
      <c r="A95" s="1535" t="s">
        <v>1566</v>
      </c>
      <c r="B95" s="640">
        <v>4330</v>
      </c>
      <c r="C95" s="617"/>
      <c r="D95" s="617"/>
      <c r="E95" s="639"/>
      <c r="F95" s="617"/>
      <c r="G95" s="617"/>
      <c r="H95" s="467"/>
      <c r="I95" s="477"/>
      <c r="J95" s="477"/>
      <c r="K95" s="1699">
        <f t="shared" si="12"/>
        <v>0</v>
      </c>
      <c r="L95" s="530"/>
    </row>
    <row r="96" spans="1:12" ht="14.25" thickTop="1" thickBot="1" x14ac:dyDescent="0.25">
      <c r="A96" s="1535" t="s">
        <v>712</v>
      </c>
      <c r="B96" s="640">
        <v>4340</v>
      </c>
      <c r="C96" s="617"/>
      <c r="D96" s="617"/>
      <c r="E96" s="639"/>
      <c r="F96" s="617"/>
      <c r="G96" s="617"/>
      <c r="H96" s="467"/>
      <c r="I96" s="477"/>
      <c r="J96" s="477"/>
      <c r="K96" s="1699">
        <f t="shared" si="12"/>
        <v>0</v>
      </c>
      <c r="L96" s="530"/>
    </row>
    <row r="97" spans="1:14" ht="12.75" customHeight="1" thickTop="1" thickBot="1" x14ac:dyDescent="0.25">
      <c r="A97" s="1535" t="s">
        <v>785</v>
      </c>
      <c r="B97" s="640">
        <v>4370</v>
      </c>
      <c r="C97" s="617"/>
      <c r="D97" s="617"/>
      <c r="E97" s="639"/>
      <c r="F97" s="617"/>
      <c r="G97" s="617"/>
      <c r="H97" s="467"/>
      <c r="I97" s="477"/>
      <c r="J97" s="477"/>
      <c r="K97" s="1699">
        <f t="shared" si="12"/>
        <v>0</v>
      </c>
      <c r="L97" s="530"/>
    </row>
    <row r="98" spans="1:14" ht="14.25" thickTop="1" thickBot="1" x14ac:dyDescent="0.25">
      <c r="A98" s="1535" t="s">
        <v>786</v>
      </c>
      <c r="B98" s="640">
        <v>4380</v>
      </c>
      <c r="C98" s="617"/>
      <c r="D98" s="617"/>
      <c r="E98" s="643"/>
      <c r="F98" s="617"/>
      <c r="G98" s="617"/>
      <c r="H98" s="467"/>
      <c r="I98" s="477"/>
      <c r="J98" s="477"/>
      <c r="K98" s="1699">
        <f t="shared" si="12"/>
        <v>0</v>
      </c>
      <c r="L98" s="530"/>
    </row>
    <row r="99" spans="1:14" ht="14.25" thickTop="1" thickBot="1" x14ac:dyDescent="0.25">
      <c r="A99" s="1535" t="s">
        <v>383</v>
      </c>
      <c r="B99" s="640">
        <v>4390</v>
      </c>
      <c r="C99" s="617"/>
      <c r="D99" s="617"/>
      <c r="E99" s="532"/>
      <c r="F99" s="617"/>
      <c r="G99" s="617"/>
      <c r="H99" s="467"/>
      <c r="I99" s="477"/>
      <c r="J99" s="477"/>
      <c r="K99" s="1699">
        <f>SUM(E99,H99)</f>
        <v>0</v>
      </c>
      <c r="L99" s="530"/>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row>
    <row r="102" spans="1:14" ht="12.75" customHeight="1" thickTop="1" thickBot="1" x14ac:dyDescent="0.25">
      <c r="A102" s="1690" t="s">
        <v>1565</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608</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655156</v>
      </c>
      <c r="D114" s="1692">
        <f t="shared" ref="D114:K114" si="13">SUM(D33,D74,D75,D102,D112,D113)</f>
        <v>100242</v>
      </c>
      <c r="E114" s="1692">
        <f t="shared" si="13"/>
        <v>2737</v>
      </c>
      <c r="F114" s="1692">
        <f t="shared" si="13"/>
        <v>53257</v>
      </c>
      <c r="G114" s="1692">
        <f t="shared" si="13"/>
        <v>30041</v>
      </c>
      <c r="H114" s="1692">
        <f>SUM(H33,H74,H75,H102,H112,H113)</f>
        <v>-500</v>
      </c>
      <c r="I114" s="1692">
        <f t="shared" si="13"/>
        <v>0</v>
      </c>
      <c r="J114" s="1692">
        <f t="shared" si="13"/>
        <v>0</v>
      </c>
      <c r="K114" s="1692">
        <f t="shared" si="13"/>
        <v>840933</v>
      </c>
      <c r="L114" s="1692">
        <f>SUM(L33,L74,L75,L102,L112,L113)</f>
        <v>1009657</v>
      </c>
    </row>
    <row r="115" spans="1:14" ht="13.5" thickTop="1" x14ac:dyDescent="0.2">
      <c r="A115" s="2200" t="s">
        <v>1051</v>
      </c>
      <c r="B115" s="2201"/>
      <c r="C115" s="619"/>
      <c r="D115" s="619"/>
      <c r="E115" s="619"/>
      <c r="F115" s="619"/>
      <c r="G115" s="619"/>
      <c r="H115" s="619"/>
      <c r="I115" s="619"/>
      <c r="J115" s="619"/>
      <c r="K115" s="1706">
        <f>'Revenues 9-14'!C275-'Expenditures 15-22'!K114</f>
        <v>74748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312</v>
      </c>
      <c r="B117" s="2179"/>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25</v>
      </c>
    </row>
    <row r="124" spans="1:14" ht="14.25" thickTop="1" thickBot="1" x14ac:dyDescent="0.25">
      <c r="A124" s="1526" t="s">
        <v>206</v>
      </c>
      <c r="B124" s="615">
        <v>2540</v>
      </c>
      <c r="C124" s="466"/>
      <c r="D124" s="466"/>
      <c r="E124" s="466">
        <v>17769</v>
      </c>
      <c r="F124" s="466">
        <v>1324</v>
      </c>
      <c r="G124" s="466"/>
      <c r="H124" s="466"/>
      <c r="I124" s="467"/>
      <c r="J124" s="467"/>
      <c r="K124" s="1692">
        <f>SUM(C124:J124)</f>
        <v>19093</v>
      </c>
      <c r="L124" s="466">
        <v>34650</v>
      </c>
    </row>
    <row r="125" spans="1:14" ht="14.25" thickTop="1" thickBot="1" x14ac:dyDescent="0.25">
      <c r="A125" s="1526" t="s">
        <v>1008</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741</v>
      </c>
      <c r="B127" s="1691" t="s">
        <v>35</v>
      </c>
      <c r="C127" s="1692">
        <f>SUM(C122:C126)</f>
        <v>0</v>
      </c>
      <c r="D127" s="1692">
        <f t="shared" ref="D127:L127" si="14">SUM(D122:D126)</f>
        <v>0</v>
      </c>
      <c r="E127" s="1692">
        <f t="shared" si="14"/>
        <v>17769</v>
      </c>
      <c r="F127" s="1692">
        <f t="shared" si="14"/>
        <v>1324</v>
      </c>
      <c r="G127" s="1692">
        <f t="shared" si="14"/>
        <v>0</v>
      </c>
      <c r="H127" s="1692">
        <f t="shared" si="14"/>
        <v>0</v>
      </c>
      <c r="I127" s="1692">
        <f t="shared" si="14"/>
        <v>0</v>
      </c>
      <c r="J127" s="1692">
        <f t="shared" si="14"/>
        <v>0</v>
      </c>
      <c r="K127" s="1692">
        <f t="shared" si="14"/>
        <v>19093</v>
      </c>
      <c r="L127" s="1692">
        <f t="shared" si="14"/>
        <v>34675</v>
      </c>
    </row>
    <row r="128" spans="1:14" ht="12.75" customHeight="1" thickTop="1" x14ac:dyDescent="0.2">
      <c r="A128" s="1533" t="s">
        <v>1035</v>
      </c>
      <c r="B128" s="656" t="s">
        <v>593</v>
      </c>
      <c r="C128" s="657"/>
      <c r="D128" s="657"/>
      <c r="E128" s="657"/>
      <c r="F128" s="657"/>
      <c r="G128" s="657"/>
      <c r="H128" s="657"/>
      <c r="I128" s="535"/>
      <c r="J128" s="535"/>
      <c r="K128" s="1707">
        <f>SUM(C128:J128)</f>
        <v>0</v>
      </c>
      <c r="L128" s="657"/>
    </row>
    <row r="129" spans="1:14" ht="12.75" customHeight="1" thickBot="1" x14ac:dyDescent="0.25">
      <c r="A129" s="1708" t="s">
        <v>863</v>
      </c>
      <c r="B129" s="1709" t="s">
        <v>588</v>
      </c>
      <c r="C129" s="1699">
        <f>SUM(C120,C127,C128)</f>
        <v>0</v>
      </c>
      <c r="D129" s="1699">
        <f t="shared" ref="D129:L129" si="15">SUM(D120,D127,D128)</f>
        <v>0</v>
      </c>
      <c r="E129" s="1699">
        <f t="shared" si="15"/>
        <v>17769</v>
      </c>
      <c r="F129" s="1699">
        <f t="shared" si="15"/>
        <v>1324</v>
      </c>
      <c r="G129" s="1699">
        <f t="shared" si="15"/>
        <v>0</v>
      </c>
      <c r="H129" s="1699">
        <f t="shared" si="15"/>
        <v>0</v>
      </c>
      <c r="I129" s="1699">
        <f t="shared" si="15"/>
        <v>0</v>
      </c>
      <c r="J129" s="1699">
        <f t="shared" si="15"/>
        <v>0</v>
      </c>
      <c r="K129" s="1699">
        <f t="shared" si="15"/>
        <v>19093</v>
      </c>
      <c r="L129" s="1699">
        <f t="shared" si="15"/>
        <v>34675</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7" customHeight="1" x14ac:dyDescent="0.2">
      <c r="A132" s="658" t="s">
        <v>633</v>
      </c>
      <c r="B132" s="659"/>
      <c r="C132" s="468"/>
      <c r="D132" s="468"/>
      <c r="E132" s="521"/>
      <c r="F132" s="468"/>
      <c r="G132" s="468"/>
      <c r="H132" s="521"/>
      <c r="I132" s="468"/>
      <c r="J132" s="468"/>
      <c r="K132" s="521"/>
      <c r="L132" s="521"/>
      <c r="M132" s="206"/>
      <c r="N132" s="206"/>
    </row>
    <row r="133" spans="1:14" s="384" customFormat="1" ht="13.7" customHeight="1" x14ac:dyDescent="0.2">
      <c r="A133" s="1512" t="s">
        <v>515</v>
      </c>
      <c r="B133" s="1864" t="s">
        <v>1954</v>
      </c>
      <c r="C133" s="468"/>
      <c r="D133" s="468"/>
      <c r="E133" s="642"/>
      <c r="F133" s="468"/>
      <c r="G133" s="468"/>
      <c r="H133" s="642"/>
      <c r="I133" s="468"/>
      <c r="J133" s="468"/>
      <c r="K133" s="1844">
        <f>SUM(E133,H133)</f>
        <v>0</v>
      </c>
      <c r="L133" s="642"/>
      <c r="M133" s="206"/>
      <c r="N133" s="206"/>
    </row>
    <row r="134" spans="1:14" x14ac:dyDescent="0.2">
      <c r="A134" s="1526" t="s">
        <v>320</v>
      </c>
      <c r="B134" s="615">
        <v>4120</v>
      </c>
      <c r="C134" s="617"/>
      <c r="D134" s="617"/>
      <c r="E134" s="478"/>
      <c r="F134" s="617"/>
      <c r="G134" s="617"/>
      <c r="H134" s="481"/>
      <c r="I134" s="477"/>
      <c r="J134" s="617"/>
      <c r="K134" s="1694">
        <f>SUM(E134,H134)</f>
        <v>0</v>
      </c>
      <c r="L134" s="481"/>
    </row>
    <row r="135" spans="1:14" x14ac:dyDescent="0.2">
      <c r="A135" s="1526" t="s">
        <v>719</v>
      </c>
      <c r="B135" s="615">
        <v>4140</v>
      </c>
      <c r="C135" s="617"/>
      <c r="D135" s="617"/>
      <c r="E135" s="467"/>
      <c r="F135" s="617"/>
      <c r="G135" s="617"/>
      <c r="H135" s="466"/>
      <c r="I135" s="477"/>
      <c r="J135" s="617"/>
      <c r="K135" s="1694">
        <f>SUM(E135,H135)</f>
        <v>0</v>
      </c>
      <c r="L135" s="466"/>
    </row>
    <row r="136" spans="1:14" x14ac:dyDescent="0.2">
      <c r="A136" s="1530" t="s">
        <v>720</v>
      </c>
      <c r="B136" s="629">
        <v>4190</v>
      </c>
      <c r="C136" s="617"/>
      <c r="D136" s="617"/>
      <c r="E136" s="467"/>
      <c r="F136" s="617"/>
      <c r="G136" s="617"/>
      <c r="H136" s="466"/>
      <c r="I136" s="477"/>
      <c r="J136" s="617"/>
      <c r="K136" s="1694">
        <f>SUM(E136,H136)</f>
        <v>0</v>
      </c>
      <c r="L136" s="466"/>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1230</v>
      </c>
      <c r="B144" s="629" t="s">
        <v>636</v>
      </c>
      <c r="C144" s="617"/>
      <c r="D144" s="617"/>
      <c r="E144" s="617"/>
      <c r="F144" s="617"/>
      <c r="G144" s="617"/>
      <c r="H144" s="466"/>
      <c r="I144" s="468"/>
      <c r="J144" s="617"/>
      <c r="K144" s="1694">
        <f>SUM(H144)</f>
        <v>0</v>
      </c>
      <c r="L144" s="466"/>
    </row>
    <row r="145" spans="1:14" x14ac:dyDescent="0.2">
      <c r="A145" s="1526" t="s">
        <v>91</v>
      </c>
      <c r="B145" s="615" t="s">
        <v>608</v>
      </c>
      <c r="C145" s="617"/>
      <c r="D145" s="617"/>
      <c r="E145" s="617"/>
      <c r="F145" s="617"/>
      <c r="G145" s="617"/>
      <c r="H145" s="466"/>
      <c r="I145" s="468"/>
      <c r="J145" s="617"/>
      <c r="K145" s="1694">
        <f>SUM(H145)</f>
        <v>0</v>
      </c>
      <c r="L145" s="466"/>
    </row>
    <row r="146" spans="1:14" ht="12.75" customHeight="1" x14ac:dyDescent="0.2">
      <c r="A146" s="1526" t="s">
        <v>638</v>
      </c>
      <c r="B146" s="615" t="s">
        <v>637</v>
      </c>
      <c r="C146" s="617"/>
      <c r="D146" s="617"/>
      <c r="E146" s="617"/>
      <c r="F146" s="617"/>
      <c r="G146" s="617"/>
      <c r="H146" s="466"/>
      <c r="I146" s="468"/>
      <c r="J146" s="617"/>
      <c r="K146" s="1694">
        <f>SUM(H146)</f>
        <v>0</v>
      </c>
      <c r="L146" s="466"/>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row>
    <row r="151" spans="1:14" ht="12.75" customHeight="1" thickTop="1" thickBot="1" x14ac:dyDescent="0.25">
      <c r="A151" s="2190" t="s">
        <v>639</v>
      </c>
      <c r="B151" s="2172"/>
      <c r="C151" s="1692">
        <f>SUM(C129,C130,C139,C149,C150)</f>
        <v>0</v>
      </c>
      <c r="D151" s="1692">
        <f t="shared" ref="D151:K151" si="16">SUM(D129,D130,D139,D149,D150)</f>
        <v>0</v>
      </c>
      <c r="E151" s="1692">
        <f t="shared" si="16"/>
        <v>17769</v>
      </c>
      <c r="F151" s="1692">
        <f t="shared" si="16"/>
        <v>1324</v>
      </c>
      <c r="G151" s="1692">
        <f t="shared" si="16"/>
        <v>0</v>
      </c>
      <c r="H151" s="1692">
        <f t="shared" si="16"/>
        <v>0</v>
      </c>
      <c r="I151" s="1692">
        <f t="shared" si="16"/>
        <v>0</v>
      </c>
      <c r="J151" s="1692">
        <f t="shared" si="16"/>
        <v>0</v>
      </c>
      <c r="K151" s="1692">
        <f t="shared" si="16"/>
        <v>19093</v>
      </c>
      <c r="L151" s="1692">
        <f>SUM(L129,L130,L139,L149,L150)</f>
        <v>34675</v>
      </c>
    </row>
    <row r="152" spans="1:14" ht="12.75" customHeight="1" thickTop="1" x14ac:dyDescent="0.2">
      <c r="A152" s="2193" t="s">
        <v>1238</v>
      </c>
      <c r="B152" s="2194"/>
      <c r="C152" s="619"/>
      <c r="D152" s="619"/>
      <c r="E152" s="619"/>
      <c r="F152" s="619"/>
      <c r="G152" s="619"/>
      <c r="H152" s="619"/>
      <c r="I152" s="619"/>
      <c r="J152" s="617"/>
      <c r="K152" s="1706">
        <f>'Revenues 9-14'!D275-'Expenditures 15-22'!K151</f>
        <v>3688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640</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320</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577</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1230</v>
      </c>
      <c r="B165" s="615" t="s">
        <v>636</v>
      </c>
      <c r="C165" s="617"/>
      <c r="D165" s="617"/>
      <c r="E165" s="617"/>
      <c r="F165" s="617"/>
      <c r="G165" s="617"/>
      <c r="H165" s="466"/>
      <c r="I165" s="617"/>
      <c r="J165" s="617"/>
      <c r="K165" s="1693">
        <f>SUM(C165:J165)</f>
        <v>0</v>
      </c>
      <c r="L165" s="466"/>
    </row>
    <row r="166" spans="1:14" x14ac:dyDescent="0.2">
      <c r="A166" s="1526" t="s">
        <v>91</v>
      </c>
      <c r="B166" s="629" t="s">
        <v>608</v>
      </c>
      <c r="C166" s="617"/>
      <c r="D166" s="617"/>
      <c r="E166" s="617"/>
      <c r="F166" s="617"/>
      <c r="G166" s="617"/>
      <c r="H166" s="466"/>
      <c r="I166" s="617"/>
      <c r="J166" s="617"/>
      <c r="K166" s="1693">
        <f>SUM(C166:J166)</f>
        <v>0</v>
      </c>
      <c r="L166" s="466"/>
    </row>
    <row r="167" spans="1:14" ht="12.75" customHeight="1" x14ac:dyDescent="0.2">
      <c r="A167" s="1526" t="s">
        <v>638</v>
      </c>
      <c r="B167" s="615" t="s">
        <v>637</v>
      </c>
      <c r="C167" s="617"/>
      <c r="D167" s="617"/>
      <c r="E167" s="617"/>
      <c r="F167" s="617"/>
      <c r="G167" s="617"/>
      <c r="H167" s="466"/>
      <c r="I167" s="617"/>
      <c r="J167" s="617"/>
      <c r="K167" s="1693">
        <f>SUM(C167:J167)</f>
        <v>0</v>
      </c>
      <c r="L167" s="466"/>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1767</v>
      </c>
      <c r="B170" s="672" t="s">
        <v>31</v>
      </c>
      <c r="C170" s="617"/>
      <c r="D170" s="617"/>
      <c r="E170" s="617"/>
      <c r="F170" s="617"/>
      <c r="G170" s="617"/>
      <c r="H170" s="569"/>
      <c r="I170" s="617"/>
      <c r="J170" s="617"/>
      <c r="K170" s="1693">
        <f>SUM(C170:J170)</f>
        <v>0</v>
      </c>
      <c r="L170" s="569"/>
    </row>
    <row r="171" spans="1:14" ht="15.75" customHeight="1" x14ac:dyDescent="0.2">
      <c r="A171" s="622" t="s">
        <v>788</v>
      </c>
      <c r="B171" s="673" t="s">
        <v>86</v>
      </c>
      <c r="C171" s="617"/>
      <c r="D171" s="617"/>
      <c r="E171" s="466"/>
      <c r="F171" s="617"/>
      <c r="G171" s="617"/>
      <c r="H171" s="569"/>
      <c r="I171" s="477"/>
      <c r="J171" s="617"/>
      <c r="K171" s="1693">
        <f>SUM(C171:J171)</f>
        <v>0</v>
      </c>
      <c r="L171" s="569"/>
    </row>
    <row r="172" spans="1:14" ht="12.75" customHeight="1" thickBot="1" x14ac:dyDescent="0.25">
      <c r="A172" s="1690" t="s">
        <v>657</v>
      </c>
      <c r="B172" s="1691" t="s">
        <v>511</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914</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200" t="s">
        <v>1051</v>
      </c>
      <c r="B175" s="2201"/>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c r="D182" s="466"/>
      <c r="E182" s="466">
        <v>27055</v>
      </c>
      <c r="F182" s="466"/>
      <c r="G182" s="466"/>
      <c r="H182" s="466"/>
      <c r="I182" s="467"/>
      <c r="J182" s="467"/>
      <c r="K182" s="1693">
        <f>SUM(C182:J182)</f>
        <v>27055</v>
      </c>
      <c r="L182" s="466">
        <v>30500</v>
      </c>
    </row>
    <row r="183" spans="1:14" ht="12.75" customHeight="1" thickBot="1" x14ac:dyDescent="0.25">
      <c r="A183" s="1531" t="s">
        <v>1035</v>
      </c>
      <c r="B183" s="678">
        <v>2900</v>
      </c>
      <c r="C183" s="573"/>
      <c r="D183" s="573"/>
      <c r="E183" s="573"/>
      <c r="F183" s="573"/>
      <c r="G183" s="573"/>
      <c r="H183" s="573"/>
      <c r="I183" s="532"/>
      <c r="J183" s="532"/>
      <c r="K183" s="1699">
        <f>SUM(C183:J183)</f>
        <v>0</v>
      </c>
      <c r="L183" s="573"/>
    </row>
    <row r="184" spans="1:14" ht="12.75" customHeight="1" thickTop="1" thickBot="1" x14ac:dyDescent="0.25">
      <c r="A184" s="1713" t="s">
        <v>863</v>
      </c>
      <c r="B184" s="1691" t="s">
        <v>588</v>
      </c>
      <c r="C184" s="1699">
        <f>SUM(C180,C182,C183)</f>
        <v>0</v>
      </c>
      <c r="D184" s="1699">
        <f t="shared" ref="D184:J184" si="17">SUM(D180,D182,D183)</f>
        <v>0</v>
      </c>
      <c r="E184" s="1699">
        <f t="shared" si="17"/>
        <v>27055</v>
      </c>
      <c r="F184" s="1699">
        <f t="shared" si="17"/>
        <v>0</v>
      </c>
      <c r="G184" s="1699">
        <f t="shared" si="17"/>
        <v>0</v>
      </c>
      <c r="H184" s="1699">
        <f t="shared" si="17"/>
        <v>0</v>
      </c>
      <c r="I184" s="1699">
        <f t="shared" si="17"/>
        <v>0</v>
      </c>
      <c r="J184" s="1699">
        <f t="shared" si="17"/>
        <v>0</v>
      </c>
      <c r="K184" s="1699">
        <f>SUM(K180,K182,K183)</f>
        <v>27055</v>
      </c>
      <c r="L184" s="1699">
        <f>SUM(L180, L182:L183)</f>
        <v>30500</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row>
    <row r="189" spans="1:14" x14ac:dyDescent="0.2">
      <c r="A189" s="1526" t="s">
        <v>320</v>
      </c>
      <c r="B189" s="615">
        <v>4120</v>
      </c>
      <c r="C189" s="617"/>
      <c r="D189" s="617"/>
      <c r="E189" s="466"/>
      <c r="F189" s="617"/>
      <c r="G189" s="617"/>
      <c r="H189" s="466"/>
      <c r="I189" s="477"/>
      <c r="J189" s="617"/>
      <c r="K189" s="1693">
        <f t="shared" si="18"/>
        <v>0</v>
      </c>
      <c r="L189" s="466"/>
    </row>
    <row r="190" spans="1:14" x14ac:dyDescent="0.2">
      <c r="A190" s="1526" t="s">
        <v>321</v>
      </c>
      <c r="B190" s="629">
        <v>4130</v>
      </c>
      <c r="C190" s="617"/>
      <c r="D190" s="617"/>
      <c r="E190" s="466"/>
      <c r="F190" s="617"/>
      <c r="G190" s="617"/>
      <c r="H190" s="466"/>
      <c r="I190" s="477"/>
      <c r="J190" s="617"/>
      <c r="K190" s="1693">
        <f t="shared" si="18"/>
        <v>0</v>
      </c>
      <c r="L190" s="466"/>
    </row>
    <row r="191" spans="1:14" x14ac:dyDescent="0.2">
      <c r="A191" s="1526" t="s">
        <v>719</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720</v>
      </c>
      <c r="B193" s="629">
        <v>4190</v>
      </c>
      <c r="C193" s="617"/>
      <c r="D193" s="617"/>
      <c r="E193" s="466"/>
      <c r="F193" s="617"/>
      <c r="G193" s="617"/>
      <c r="H193" s="466"/>
      <c r="I193" s="477"/>
      <c r="J193" s="617"/>
      <c r="K193" s="1693">
        <f t="shared" si="18"/>
        <v>0</v>
      </c>
      <c r="L193" s="466"/>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1230</v>
      </c>
      <c r="B201" s="629" t="s">
        <v>636</v>
      </c>
      <c r="C201" s="617"/>
      <c r="D201" s="617"/>
      <c r="E201" s="617"/>
      <c r="F201" s="617"/>
      <c r="G201" s="617"/>
      <c r="H201" s="466"/>
      <c r="I201" s="617"/>
      <c r="J201" s="617"/>
      <c r="K201" s="1693">
        <f>SUM(H201)</f>
        <v>0</v>
      </c>
      <c r="L201" s="466"/>
    </row>
    <row r="202" spans="1:14" x14ac:dyDescent="0.2">
      <c r="A202" s="1526" t="s">
        <v>91</v>
      </c>
      <c r="B202" s="615" t="s">
        <v>608</v>
      </c>
      <c r="C202" s="617"/>
      <c r="D202" s="617"/>
      <c r="E202" s="617"/>
      <c r="F202" s="617"/>
      <c r="G202" s="617"/>
      <c r="H202" s="466"/>
      <c r="I202" s="617"/>
      <c r="J202" s="617"/>
      <c r="K202" s="1693">
        <f>SUM(H202)</f>
        <v>0</v>
      </c>
      <c r="L202" s="466"/>
    </row>
    <row r="203" spans="1:14" x14ac:dyDescent="0.2">
      <c r="A203" s="1538" t="s">
        <v>638</v>
      </c>
      <c r="B203" s="615" t="s">
        <v>637</v>
      </c>
      <c r="C203" s="617"/>
      <c r="D203" s="617"/>
      <c r="E203" s="617"/>
      <c r="F203" s="617"/>
      <c r="G203" s="617"/>
      <c r="H203" s="471"/>
      <c r="I203" s="617"/>
      <c r="J203" s="617"/>
      <c r="K203" s="1693">
        <f>SUM(H203)</f>
        <v>0</v>
      </c>
      <c r="L203" s="471"/>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row>
    <row r="210" spans="1:14" ht="12.75" customHeight="1" thickTop="1" thickBot="1" x14ac:dyDescent="0.25">
      <c r="A210" s="1714" t="s">
        <v>293</v>
      </c>
      <c r="B210" s="1715"/>
      <c r="C210" s="1692">
        <f>SUM(C184,C185)</f>
        <v>0</v>
      </c>
      <c r="D210" s="1692">
        <f>SUM(D184,D185)</f>
        <v>0</v>
      </c>
      <c r="E210" s="1692">
        <f>SUM(E184,E185,E196)</f>
        <v>27055</v>
      </c>
      <c r="F210" s="1692">
        <f>SUM(F184,F185)</f>
        <v>0</v>
      </c>
      <c r="G210" s="1692">
        <f>SUM(G184,G185)</f>
        <v>0</v>
      </c>
      <c r="H210" s="1692">
        <f>SUM(H184,H185,H196,H208,H209)</f>
        <v>0</v>
      </c>
      <c r="I210" s="1692">
        <f>SUM(I184,I185)</f>
        <v>0</v>
      </c>
      <c r="J210" s="1692">
        <f>SUM(J184,J185)</f>
        <v>0</v>
      </c>
      <c r="K210" s="1693">
        <f>SUM(K184,K185,K196,K208,K209)</f>
        <v>27055</v>
      </c>
      <c r="L210" s="1692">
        <f>SUM(L184,L185,L196,L208,L209)</f>
        <v>30500</v>
      </c>
    </row>
    <row r="211" spans="1:14" ht="13.5" thickTop="1" x14ac:dyDescent="0.2">
      <c r="A211" s="2200" t="s">
        <v>1051</v>
      </c>
      <c r="B211" s="2201"/>
      <c r="C211" s="619"/>
      <c r="D211" s="619"/>
      <c r="E211" s="619"/>
      <c r="F211" s="619"/>
      <c r="G211" s="619"/>
      <c r="H211" s="619"/>
      <c r="I211" s="617"/>
      <c r="J211" s="617"/>
      <c r="K211" s="1706">
        <f>'Revenues 9-14'!F275-'Expenditures 15-22'!K210</f>
        <v>-7017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1020</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c r="E215" s="617"/>
      <c r="F215" s="617"/>
      <c r="G215" s="617"/>
      <c r="H215" s="617"/>
      <c r="I215" s="617"/>
      <c r="J215" s="617"/>
      <c r="K215" s="1693">
        <f>D215</f>
        <v>0</v>
      </c>
      <c r="L215" s="466"/>
    </row>
    <row r="216" spans="1:14" x14ac:dyDescent="0.2">
      <c r="A216" s="1526" t="s">
        <v>165</v>
      </c>
      <c r="B216" s="615" t="s">
        <v>1022</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294</v>
      </c>
      <c r="B218" s="615" t="s">
        <v>1023</v>
      </c>
      <c r="C218" s="617"/>
      <c r="D218" s="467"/>
      <c r="E218" s="617"/>
      <c r="F218" s="617"/>
      <c r="G218" s="617"/>
      <c r="H218" s="617"/>
      <c r="I218" s="617"/>
      <c r="J218" s="617"/>
      <c r="K218" s="1693">
        <f t="shared" si="19"/>
        <v>0</v>
      </c>
      <c r="L218" s="466"/>
    </row>
    <row r="219" spans="1:14" x14ac:dyDescent="0.2">
      <c r="A219" s="1526" t="s">
        <v>295</v>
      </c>
      <c r="B219" s="615">
        <v>1250</v>
      </c>
      <c r="C219" s="617"/>
      <c r="D219" s="466"/>
      <c r="E219" s="617"/>
      <c r="F219" s="617"/>
      <c r="G219" s="617"/>
      <c r="H219" s="617"/>
      <c r="I219" s="617"/>
      <c r="J219" s="617"/>
      <c r="K219" s="1693">
        <f t="shared" si="19"/>
        <v>0</v>
      </c>
      <c r="L219" s="466"/>
    </row>
    <row r="220" spans="1:14" x14ac:dyDescent="0.2">
      <c r="A220" s="1526" t="s">
        <v>296</v>
      </c>
      <c r="B220" s="615" t="s">
        <v>163</v>
      </c>
      <c r="C220" s="617"/>
      <c r="D220" s="467"/>
      <c r="E220" s="617"/>
      <c r="F220" s="617"/>
      <c r="G220" s="617"/>
      <c r="H220" s="617"/>
      <c r="I220" s="617"/>
      <c r="J220" s="617"/>
      <c r="K220" s="1693">
        <f t="shared" si="19"/>
        <v>0</v>
      </c>
      <c r="L220" s="466"/>
    </row>
    <row r="221" spans="1:14" x14ac:dyDescent="0.2">
      <c r="A221" s="1526" t="s">
        <v>1017</v>
      </c>
      <c r="B221" s="615">
        <v>1300</v>
      </c>
      <c r="C221" s="617"/>
      <c r="D221" s="466"/>
      <c r="E221" s="617"/>
      <c r="F221" s="617"/>
      <c r="G221" s="617"/>
      <c r="H221" s="617"/>
      <c r="I221" s="617"/>
      <c r="J221" s="617"/>
      <c r="K221" s="1693">
        <f t="shared" si="19"/>
        <v>0</v>
      </c>
      <c r="L221" s="466"/>
    </row>
    <row r="222" spans="1:14" x14ac:dyDescent="0.2">
      <c r="A222" s="1526" t="s">
        <v>745</v>
      </c>
      <c r="B222" s="615">
        <v>1400</v>
      </c>
      <c r="C222" s="617"/>
      <c r="D222" s="466"/>
      <c r="E222" s="617"/>
      <c r="F222" s="617"/>
      <c r="G222" s="617"/>
      <c r="H222" s="617"/>
      <c r="I222" s="617"/>
      <c r="J222" s="617"/>
      <c r="K222" s="1693">
        <f t="shared" si="19"/>
        <v>0</v>
      </c>
      <c r="L222" s="466"/>
    </row>
    <row r="223" spans="1:14" x14ac:dyDescent="0.2">
      <c r="A223" s="1526" t="s">
        <v>1018</v>
      </c>
      <c r="B223" s="615">
        <v>1500</v>
      </c>
      <c r="C223" s="617"/>
      <c r="D223" s="466"/>
      <c r="E223" s="617"/>
      <c r="F223" s="617"/>
      <c r="G223" s="617"/>
      <c r="H223" s="617"/>
      <c r="I223" s="617"/>
      <c r="J223" s="617"/>
      <c r="K223" s="1693">
        <f t="shared" si="19"/>
        <v>0</v>
      </c>
      <c r="L223" s="466"/>
    </row>
    <row r="224" spans="1:14" x14ac:dyDescent="0.2">
      <c r="A224" s="1526" t="s">
        <v>1019</v>
      </c>
      <c r="B224" s="615">
        <v>1600</v>
      </c>
      <c r="C224" s="617"/>
      <c r="D224" s="466"/>
      <c r="E224" s="617"/>
      <c r="F224" s="617"/>
      <c r="G224" s="617"/>
      <c r="H224" s="617"/>
      <c r="I224" s="617"/>
      <c r="J224" s="617"/>
      <c r="K224" s="1693">
        <f t="shared" si="19"/>
        <v>0</v>
      </c>
      <c r="L224" s="466"/>
    </row>
    <row r="225" spans="1:12" x14ac:dyDescent="0.2">
      <c r="A225" s="1526" t="s">
        <v>1042</v>
      </c>
      <c r="B225" s="615">
        <v>1650</v>
      </c>
      <c r="C225" s="617"/>
      <c r="D225" s="466"/>
      <c r="E225" s="617"/>
      <c r="F225" s="617"/>
      <c r="G225" s="617"/>
      <c r="H225" s="617"/>
      <c r="I225" s="617"/>
      <c r="J225" s="617"/>
      <c r="K225" s="1693">
        <f t="shared" si="19"/>
        <v>0</v>
      </c>
      <c r="L225" s="466"/>
    </row>
    <row r="226" spans="1:12" x14ac:dyDescent="0.2">
      <c r="A226" s="1526" t="s">
        <v>746</v>
      </c>
      <c r="B226" s="615" t="s">
        <v>164</v>
      </c>
      <c r="C226" s="617"/>
      <c r="D226" s="467"/>
      <c r="E226" s="617"/>
      <c r="F226" s="617"/>
      <c r="G226" s="617"/>
      <c r="H226" s="617"/>
      <c r="I226" s="617"/>
      <c r="J226" s="617"/>
      <c r="K226" s="1693">
        <f t="shared" si="19"/>
        <v>0</v>
      </c>
      <c r="L226" s="466"/>
    </row>
    <row r="227" spans="1:12" x14ac:dyDescent="0.2">
      <c r="A227" s="1526" t="s">
        <v>1146</v>
      </c>
      <c r="B227" s="615">
        <v>1800</v>
      </c>
      <c r="C227" s="617"/>
      <c r="D227" s="466"/>
      <c r="E227" s="617"/>
      <c r="F227" s="617"/>
      <c r="G227" s="617"/>
      <c r="H227" s="617"/>
      <c r="I227" s="617"/>
      <c r="J227" s="617"/>
      <c r="K227" s="1693">
        <f t="shared" si="19"/>
        <v>0</v>
      </c>
      <c r="L227" s="466"/>
    </row>
    <row r="228" spans="1:12" x14ac:dyDescent="0.2">
      <c r="A228" s="1526" t="s">
        <v>1147</v>
      </c>
      <c r="B228" s="615">
        <v>1900</v>
      </c>
      <c r="C228" s="617"/>
      <c r="D228" s="466"/>
      <c r="E228" s="617"/>
      <c r="F228" s="617"/>
      <c r="G228" s="617"/>
      <c r="H228" s="617"/>
      <c r="I228" s="617"/>
      <c r="J228" s="617"/>
      <c r="K228" s="1693">
        <f t="shared" si="19"/>
        <v>0</v>
      </c>
      <c r="L228" s="466"/>
    </row>
    <row r="229" spans="1:12" ht="12.75" customHeight="1" thickBot="1" x14ac:dyDescent="0.25">
      <c r="A229" s="1690" t="s">
        <v>737</v>
      </c>
      <c r="B229" s="1697" t="s">
        <v>589</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c r="E232" s="617"/>
      <c r="F232" s="617"/>
      <c r="G232" s="617"/>
      <c r="H232" s="617"/>
      <c r="I232" s="617"/>
      <c r="J232" s="617"/>
      <c r="K232" s="1693">
        <f t="shared" ref="K232:K237" si="20">D232</f>
        <v>0</v>
      </c>
      <c r="L232" s="466"/>
    </row>
    <row r="233" spans="1:12" x14ac:dyDescent="0.2">
      <c r="A233" s="1526" t="s">
        <v>1149</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579</v>
      </c>
      <c r="B238" s="1697" t="s">
        <v>738</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c r="E240" s="617"/>
      <c r="F240" s="617"/>
      <c r="G240" s="617"/>
      <c r="H240" s="617"/>
      <c r="I240" s="617"/>
      <c r="J240" s="617"/>
      <c r="K240" s="1694">
        <f>D240</f>
        <v>0</v>
      </c>
      <c r="L240" s="481"/>
    </row>
    <row r="241" spans="1:12" x14ac:dyDescent="0.2">
      <c r="A241" s="1526" t="s">
        <v>867</v>
      </c>
      <c r="B241" s="615">
        <v>2220</v>
      </c>
      <c r="C241" s="617"/>
      <c r="D241" s="466"/>
      <c r="E241" s="617"/>
      <c r="F241" s="617"/>
      <c r="G241" s="617"/>
      <c r="H241" s="617"/>
      <c r="I241" s="617"/>
      <c r="J241" s="617"/>
      <c r="K241" s="1694">
        <f>D241</f>
        <v>0</v>
      </c>
      <c r="L241" s="466"/>
    </row>
    <row r="242" spans="1:12" x14ac:dyDescent="0.2">
      <c r="A242" s="1526" t="s">
        <v>868</v>
      </c>
      <c r="B242" s="615">
        <v>2230</v>
      </c>
      <c r="C242" s="617"/>
      <c r="D242" s="466"/>
      <c r="E242" s="617"/>
      <c r="F242" s="617"/>
      <c r="G242" s="617"/>
      <c r="H242" s="617"/>
      <c r="I242" s="617"/>
      <c r="J242" s="617"/>
      <c r="K242" s="1694">
        <f>D242</f>
        <v>0</v>
      </c>
      <c r="L242" s="466"/>
    </row>
    <row r="243" spans="1:12" ht="12.75" customHeight="1" thickBot="1" x14ac:dyDescent="0.25">
      <c r="A243" s="1716" t="s">
        <v>580</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c r="E245" s="617"/>
      <c r="F245" s="617"/>
      <c r="G245" s="617"/>
      <c r="H245" s="617"/>
      <c r="I245" s="617"/>
      <c r="J245" s="617"/>
      <c r="K245" s="1694">
        <f>D245</f>
        <v>0</v>
      </c>
      <c r="L245" s="481"/>
    </row>
    <row r="246" spans="1:12" x14ac:dyDescent="0.2">
      <c r="A246" s="1526" t="s">
        <v>870</v>
      </c>
      <c r="B246" s="615">
        <v>2320</v>
      </c>
      <c r="C246" s="617"/>
      <c r="D246" s="466"/>
      <c r="E246" s="617"/>
      <c r="F246" s="617"/>
      <c r="G246" s="617"/>
      <c r="H246" s="617"/>
      <c r="I246" s="617"/>
      <c r="J246" s="617"/>
      <c r="K246" s="1694">
        <f t="shared" ref="K246:K256" si="21">D246</f>
        <v>0</v>
      </c>
      <c r="L246" s="466"/>
    </row>
    <row r="247" spans="1:12" x14ac:dyDescent="0.2">
      <c r="A247" s="1526" t="s">
        <v>871</v>
      </c>
      <c r="B247" s="615">
        <v>2330</v>
      </c>
      <c r="C247" s="617"/>
      <c r="D247" s="466"/>
      <c r="E247" s="617"/>
      <c r="F247" s="617"/>
      <c r="G247" s="617"/>
      <c r="H247" s="617"/>
      <c r="I247" s="617"/>
      <c r="J247" s="617"/>
      <c r="K247" s="1694">
        <f t="shared" si="21"/>
        <v>0</v>
      </c>
      <c r="L247" s="466"/>
    </row>
    <row r="248" spans="1:12" x14ac:dyDescent="0.2">
      <c r="A248" s="1527" t="s">
        <v>315</v>
      </c>
      <c r="B248" s="603" t="s">
        <v>297</v>
      </c>
      <c r="C248" s="617"/>
      <c r="D248" s="474"/>
      <c r="E248" s="617"/>
      <c r="F248" s="617"/>
      <c r="G248" s="617"/>
      <c r="H248" s="617"/>
      <c r="I248" s="617"/>
      <c r="J248" s="617"/>
      <c r="K248" s="1694">
        <f t="shared" si="21"/>
        <v>0</v>
      </c>
      <c r="L248" s="466"/>
    </row>
    <row r="249" spans="1:12" x14ac:dyDescent="0.2">
      <c r="A249" s="1528" t="s">
        <v>1906</v>
      </c>
      <c r="B249" s="684" t="s">
        <v>298</v>
      </c>
      <c r="C249" s="617"/>
      <c r="D249" s="474"/>
      <c r="E249" s="617"/>
      <c r="F249" s="617"/>
      <c r="G249" s="617"/>
      <c r="H249" s="617"/>
      <c r="I249" s="617"/>
      <c r="J249" s="617"/>
      <c r="K249" s="1694">
        <f t="shared" si="21"/>
        <v>0</v>
      </c>
      <c r="L249" s="466"/>
    </row>
    <row r="250" spans="1:12" x14ac:dyDescent="0.2">
      <c r="A250" s="1527" t="s">
        <v>1907</v>
      </c>
      <c r="B250" s="603" t="s">
        <v>299</v>
      </c>
      <c r="C250" s="617"/>
      <c r="D250" s="474"/>
      <c r="E250" s="617"/>
      <c r="F250" s="617"/>
      <c r="G250" s="617"/>
      <c r="H250" s="617"/>
      <c r="I250" s="617"/>
      <c r="J250" s="617"/>
      <c r="K250" s="1694">
        <f t="shared" si="21"/>
        <v>0</v>
      </c>
      <c r="L250" s="466"/>
    </row>
    <row r="251" spans="1:12" x14ac:dyDescent="0.2">
      <c r="A251" s="1527" t="s">
        <v>256</v>
      </c>
      <c r="B251" s="603" t="s">
        <v>300</v>
      </c>
      <c r="C251" s="617"/>
      <c r="D251" s="474"/>
      <c r="E251" s="617"/>
      <c r="F251" s="617"/>
      <c r="G251" s="617"/>
      <c r="H251" s="617"/>
      <c r="I251" s="617"/>
      <c r="J251" s="617"/>
      <c r="K251" s="1694">
        <f t="shared" si="21"/>
        <v>0</v>
      </c>
      <c r="L251" s="466"/>
    </row>
    <row r="252" spans="1:12" x14ac:dyDescent="0.2">
      <c r="A252" s="1527" t="s">
        <v>724</v>
      </c>
      <c r="B252" s="603" t="s">
        <v>301</v>
      </c>
      <c r="C252" s="617"/>
      <c r="D252" s="474"/>
      <c r="E252" s="617"/>
      <c r="F252" s="617"/>
      <c r="G252" s="617"/>
      <c r="H252" s="617"/>
      <c r="I252" s="617"/>
      <c r="J252" s="617"/>
      <c r="K252" s="1694">
        <f t="shared" si="21"/>
        <v>0</v>
      </c>
      <c r="L252" s="466"/>
    </row>
    <row r="253" spans="1:12" x14ac:dyDescent="0.2">
      <c r="A253" s="1527" t="s">
        <v>257</v>
      </c>
      <c r="B253" s="603" t="s">
        <v>302</v>
      </c>
      <c r="C253" s="617"/>
      <c r="D253" s="474"/>
      <c r="E253" s="617"/>
      <c r="F253" s="617"/>
      <c r="G253" s="617"/>
      <c r="H253" s="617"/>
      <c r="I253" s="617"/>
      <c r="J253" s="617"/>
      <c r="K253" s="1694">
        <f t="shared" si="21"/>
        <v>0</v>
      </c>
      <c r="L253" s="466"/>
    </row>
    <row r="254" spans="1:12" ht="22.5" x14ac:dyDescent="0.2">
      <c r="A254" s="1527" t="s">
        <v>1085</v>
      </c>
      <c r="B254" s="684" t="s">
        <v>303</v>
      </c>
      <c r="C254" s="617"/>
      <c r="D254" s="474"/>
      <c r="E254" s="617"/>
      <c r="F254" s="617"/>
      <c r="G254" s="617"/>
      <c r="H254" s="617"/>
      <c r="I254" s="617"/>
      <c r="J254" s="617"/>
      <c r="K254" s="1694">
        <f t="shared" si="21"/>
        <v>0</v>
      </c>
      <c r="L254" s="466"/>
    </row>
    <row r="255" spans="1:12" x14ac:dyDescent="0.2">
      <c r="A255" s="1527" t="s">
        <v>1086</v>
      </c>
      <c r="B255" s="603" t="s">
        <v>304</v>
      </c>
      <c r="C255" s="617"/>
      <c r="D255" s="474"/>
      <c r="E255" s="617"/>
      <c r="F255" s="617"/>
      <c r="G255" s="617"/>
      <c r="H255" s="617"/>
      <c r="I255" s="617"/>
      <c r="J255" s="617"/>
      <c r="K255" s="1694">
        <f t="shared" si="21"/>
        <v>0</v>
      </c>
      <c r="L255" s="466"/>
    </row>
    <row r="256" spans="1:12" x14ac:dyDescent="0.2">
      <c r="A256" s="1527" t="s">
        <v>1026</v>
      </c>
      <c r="B256" s="615" t="s">
        <v>305</v>
      </c>
      <c r="C256" s="617"/>
      <c r="D256" s="474"/>
      <c r="E256" s="617"/>
      <c r="F256" s="617"/>
      <c r="G256" s="617"/>
      <c r="H256" s="617"/>
      <c r="I256" s="617"/>
      <c r="J256" s="617"/>
      <c r="K256" s="1694">
        <f t="shared" si="21"/>
        <v>0</v>
      </c>
      <c r="L256" s="466"/>
    </row>
    <row r="257" spans="1:14" ht="12.75" customHeight="1" thickBot="1" x14ac:dyDescent="0.25">
      <c r="A257" s="1690" t="s">
        <v>739</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c r="E259" s="617"/>
      <c r="F259" s="617"/>
      <c r="G259" s="617"/>
      <c r="H259" s="617"/>
      <c r="I259" s="617"/>
      <c r="J259" s="617"/>
      <c r="K259" s="1694">
        <f>D259</f>
        <v>0</v>
      </c>
      <c r="L259" s="481"/>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279</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c r="E263" s="617"/>
      <c r="F263" s="617"/>
      <c r="G263" s="617"/>
      <c r="H263" s="617"/>
      <c r="I263" s="617"/>
      <c r="J263" s="617"/>
      <c r="K263" s="1694">
        <f>D263</f>
        <v>0</v>
      </c>
      <c r="L263" s="481"/>
    </row>
    <row r="264" spans="1:14" x14ac:dyDescent="0.2">
      <c r="A264" s="1526" t="s">
        <v>481</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1008</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741</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row>
    <row r="273" spans="1:12" x14ac:dyDescent="0.2">
      <c r="A273" s="1526" t="s">
        <v>626</v>
      </c>
      <c r="B273" s="629">
        <v>2620</v>
      </c>
      <c r="C273" s="617"/>
      <c r="D273" s="466"/>
      <c r="E273" s="617"/>
      <c r="F273" s="617"/>
      <c r="G273" s="617"/>
      <c r="H273" s="617"/>
      <c r="I273" s="617"/>
      <c r="J273" s="617"/>
      <c r="K273" s="1694">
        <f>D273</f>
        <v>0</v>
      </c>
      <c r="L273" s="466"/>
    </row>
    <row r="274" spans="1:12" ht="12" customHeight="1" x14ac:dyDescent="0.2">
      <c r="A274" s="1526" t="s">
        <v>1119</v>
      </c>
      <c r="B274" s="615">
        <v>2630</v>
      </c>
      <c r="C274" s="617"/>
      <c r="D274" s="466"/>
      <c r="E274" s="617"/>
      <c r="F274" s="617"/>
      <c r="G274" s="617"/>
      <c r="H274" s="617"/>
      <c r="I274" s="617"/>
      <c r="J274" s="617"/>
      <c r="K274" s="1694">
        <f>D274</f>
        <v>0</v>
      </c>
      <c r="L274" s="466"/>
    </row>
    <row r="275" spans="1:12" x14ac:dyDescent="0.2">
      <c r="A275" s="1526" t="s">
        <v>421</v>
      </c>
      <c r="B275" s="615">
        <v>2640</v>
      </c>
      <c r="C275" s="617"/>
      <c r="D275" s="466"/>
      <c r="E275" s="617"/>
      <c r="F275" s="617"/>
      <c r="G275" s="617"/>
      <c r="H275" s="617"/>
      <c r="I275" s="617"/>
      <c r="J275" s="617"/>
      <c r="K275" s="1694">
        <f>D275</f>
        <v>0</v>
      </c>
      <c r="L275" s="466"/>
    </row>
    <row r="276" spans="1:12" x14ac:dyDescent="0.2">
      <c r="A276" s="1526" t="s">
        <v>422</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7" customHeight="1" thickTop="1" x14ac:dyDescent="0.2">
      <c r="A278" s="1532" t="s">
        <v>1035</v>
      </c>
      <c r="B278" s="656" t="s">
        <v>593</v>
      </c>
      <c r="C278" s="617"/>
      <c r="D278" s="657"/>
      <c r="E278" s="617"/>
      <c r="F278" s="617"/>
      <c r="G278" s="617"/>
      <c r="H278" s="617"/>
      <c r="I278" s="617"/>
      <c r="J278" s="617"/>
      <c r="K278" s="1707">
        <f>D278</f>
        <v>0</v>
      </c>
      <c r="L278" s="657"/>
    </row>
    <row r="279" spans="1:12" ht="12.75" customHeight="1" thickBot="1" x14ac:dyDescent="0.25">
      <c r="A279" s="1720" t="s">
        <v>863</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928</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1954</v>
      </c>
      <c r="C282" s="617"/>
      <c r="D282" s="467"/>
      <c r="E282" s="617"/>
      <c r="F282" s="617"/>
      <c r="G282" s="617"/>
      <c r="H282" s="617"/>
      <c r="I282" s="617"/>
      <c r="J282" s="617"/>
      <c r="K282" s="1693">
        <f>D282</f>
        <v>0</v>
      </c>
      <c r="L282" s="467"/>
    </row>
    <row r="283" spans="1:12" x14ac:dyDescent="0.2">
      <c r="A283" s="1526" t="s">
        <v>320</v>
      </c>
      <c r="B283" s="615">
        <v>4120</v>
      </c>
      <c r="C283" s="617"/>
      <c r="D283" s="466"/>
      <c r="E283" s="617"/>
      <c r="F283" s="617"/>
      <c r="G283" s="617"/>
      <c r="H283" s="617"/>
      <c r="I283" s="617"/>
      <c r="J283" s="617"/>
      <c r="K283" s="1693">
        <f>D283</f>
        <v>0</v>
      </c>
      <c r="L283" s="466"/>
    </row>
    <row r="284" spans="1:12" x14ac:dyDescent="0.2">
      <c r="A284" s="1526" t="s">
        <v>719</v>
      </c>
      <c r="B284" s="615">
        <v>4140</v>
      </c>
      <c r="C284" s="617"/>
      <c r="D284" s="467"/>
      <c r="E284" s="617"/>
      <c r="F284" s="617"/>
      <c r="G284" s="617"/>
      <c r="H284" s="617"/>
      <c r="I284" s="617"/>
      <c r="J284" s="617"/>
      <c r="K284" s="1693">
        <f>D284</f>
        <v>0</v>
      </c>
      <c r="L284" s="466"/>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1230</v>
      </c>
      <c r="B290" s="629" t="s">
        <v>636</v>
      </c>
      <c r="C290" s="617"/>
      <c r="D290" s="617"/>
      <c r="E290" s="617"/>
      <c r="F290" s="617"/>
      <c r="G290" s="617"/>
      <c r="H290" s="466"/>
      <c r="I290" s="617"/>
      <c r="J290" s="617"/>
      <c r="K290" s="1693">
        <f>H290</f>
        <v>0</v>
      </c>
      <c r="L290" s="466"/>
    </row>
    <row r="291" spans="1:14" x14ac:dyDescent="0.2">
      <c r="A291" s="1526" t="s">
        <v>91</v>
      </c>
      <c r="B291" s="615" t="s">
        <v>608</v>
      </c>
      <c r="C291" s="617"/>
      <c r="D291" s="617"/>
      <c r="E291" s="617"/>
      <c r="F291" s="617"/>
      <c r="G291" s="617"/>
      <c r="H291" s="466"/>
      <c r="I291" s="617"/>
      <c r="J291" s="617"/>
      <c r="K291" s="1693">
        <f>H291</f>
        <v>0</v>
      </c>
      <c r="L291" s="466"/>
    </row>
    <row r="292" spans="1:14" x14ac:dyDescent="0.2">
      <c r="A292" s="1526" t="s">
        <v>784</v>
      </c>
      <c r="B292" s="615" t="s">
        <v>637</v>
      </c>
      <c r="C292" s="617"/>
      <c r="D292" s="617"/>
      <c r="E292" s="617"/>
      <c r="F292" s="617"/>
      <c r="G292" s="617"/>
      <c r="H292" s="466"/>
      <c r="I292" s="617"/>
      <c r="J292" s="617"/>
      <c r="K292" s="1693">
        <f>H292</f>
        <v>0</v>
      </c>
      <c r="L292" s="466"/>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row>
    <row r="295" spans="1:14" ht="12.75" customHeight="1" thickTop="1" thickBot="1" x14ac:dyDescent="0.25">
      <c r="A295" s="2191" t="s">
        <v>524</v>
      </c>
      <c r="B295" s="2192"/>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200" t="s">
        <v>1051</v>
      </c>
      <c r="B296" s="2201"/>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row>
    <row r="302" spans="1:14" ht="13.7" customHeight="1" x14ac:dyDescent="0.2">
      <c r="A302" s="1539" t="s">
        <v>1035</v>
      </c>
      <c r="B302" s="615" t="s">
        <v>593</v>
      </c>
      <c r="C302" s="466"/>
      <c r="D302" s="466"/>
      <c r="E302" s="466"/>
      <c r="F302" s="466"/>
      <c r="G302" s="466"/>
      <c r="H302" s="466"/>
      <c r="I302" s="467"/>
      <c r="J302" s="467"/>
      <c r="K302" s="1693">
        <f>SUM(C302:J302)</f>
        <v>0</v>
      </c>
      <c r="L302" s="466"/>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320</v>
      </c>
      <c r="B307" s="615">
        <v>4120</v>
      </c>
      <c r="C307" s="617"/>
      <c r="D307" s="617"/>
      <c r="E307" s="467"/>
      <c r="F307" s="617"/>
      <c r="G307" s="617"/>
      <c r="H307" s="467"/>
      <c r="I307" s="477"/>
      <c r="J307" s="617"/>
      <c r="K307" s="1693">
        <f>SUM(E307,H307)</f>
        <v>0</v>
      </c>
      <c r="L307" s="466"/>
    </row>
    <row r="308" spans="1:14" x14ac:dyDescent="0.2">
      <c r="A308" s="1526" t="s">
        <v>719</v>
      </c>
      <c r="B308" s="615">
        <v>4140</v>
      </c>
      <c r="C308" s="617"/>
      <c r="D308" s="617"/>
      <c r="E308" s="467"/>
      <c r="F308" s="617"/>
      <c r="G308" s="617"/>
      <c r="H308" s="467"/>
      <c r="I308" s="477"/>
      <c r="J308" s="617"/>
      <c r="K308" s="1693">
        <f>SUM(E308,H308)</f>
        <v>0</v>
      </c>
      <c r="L308" s="466"/>
    </row>
    <row r="309" spans="1:14" ht="12.75" customHeight="1" x14ac:dyDescent="0.2">
      <c r="A309" s="1530" t="s">
        <v>720</v>
      </c>
      <c r="B309" s="629">
        <v>4190</v>
      </c>
      <c r="C309" s="617"/>
      <c r="D309" s="617"/>
      <c r="E309" s="467"/>
      <c r="F309" s="617"/>
      <c r="G309" s="617"/>
      <c r="H309" s="467"/>
      <c r="I309" s="477"/>
      <c r="J309" s="617"/>
      <c r="K309" s="1693">
        <f>SUM(E309,H309)</f>
        <v>0</v>
      </c>
      <c r="L309" s="466"/>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row>
    <row r="312" spans="1:14" s="675" customFormat="1" ht="12.75" customHeight="1" thickTop="1" thickBot="1" x14ac:dyDescent="0.25">
      <c r="A312" s="2188" t="s">
        <v>293</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1051</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952</v>
      </c>
      <c r="B317" s="2198"/>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298</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316</v>
      </c>
      <c r="B321" s="698" t="s">
        <v>299</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300</v>
      </c>
      <c r="C322" s="467"/>
      <c r="D322" s="467"/>
      <c r="E322" s="467"/>
      <c r="F322" s="467"/>
      <c r="G322" s="467"/>
      <c r="H322" s="467"/>
      <c r="I322" s="467"/>
      <c r="J322" s="467"/>
      <c r="K322" s="1693">
        <f t="shared" si="24"/>
        <v>0</v>
      </c>
      <c r="L322" s="467"/>
      <c r="M322" s="666"/>
      <c r="N322" s="666"/>
    </row>
    <row r="323" spans="1:14" s="675" customFormat="1" x14ac:dyDescent="0.2">
      <c r="A323" s="1541" t="s">
        <v>724</v>
      </c>
      <c r="B323" s="698" t="s">
        <v>301</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c r="M324" s="666"/>
      <c r="N324" s="666"/>
    </row>
    <row r="325" spans="1:14" s="675" customFormat="1" ht="22.5" x14ac:dyDescent="0.2">
      <c r="A325" s="1541" t="s">
        <v>1085</v>
      </c>
      <c r="B325" s="699" t="s">
        <v>303</v>
      </c>
      <c r="C325" s="467"/>
      <c r="D325" s="467"/>
      <c r="E325" s="467"/>
      <c r="F325" s="467"/>
      <c r="G325" s="467"/>
      <c r="H325" s="467"/>
      <c r="I325" s="467"/>
      <c r="J325" s="467"/>
      <c r="K325" s="1693">
        <f t="shared" si="24"/>
        <v>0</v>
      </c>
      <c r="L325" s="467"/>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c r="M326" s="666"/>
      <c r="N326" s="666"/>
    </row>
    <row r="327" spans="1:14" s="675" customFormat="1" x14ac:dyDescent="0.2">
      <c r="A327" s="1541" t="s">
        <v>1026</v>
      </c>
      <c r="B327" s="698" t="s">
        <v>305</v>
      </c>
      <c r="C327" s="467"/>
      <c r="D327" s="467"/>
      <c r="E327" s="467"/>
      <c r="F327" s="467"/>
      <c r="G327" s="467"/>
      <c r="H327" s="467"/>
      <c r="I327" s="467"/>
      <c r="J327" s="467"/>
      <c r="K327" s="1693">
        <f t="shared" si="24"/>
        <v>0</v>
      </c>
      <c r="L327" s="467"/>
      <c r="M327" s="666"/>
      <c r="N327" s="666"/>
    </row>
    <row r="328" spans="1:14" s="675" customFormat="1" x14ac:dyDescent="0.2">
      <c r="A328" s="1542" t="s">
        <v>490</v>
      </c>
      <c r="B328" s="691" t="s">
        <v>1192</v>
      </c>
      <c r="C328" s="474"/>
      <c r="D328" s="474"/>
      <c r="E328" s="474"/>
      <c r="F328" s="474"/>
      <c r="G328" s="474"/>
      <c r="H328" s="474"/>
      <c r="I328" s="474"/>
      <c r="J328" s="474"/>
      <c r="K328" s="1721">
        <f>SUM(C328:J328)</f>
        <v>0</v>
      </c>
      <c r="L328" s="474"/>
      <c r="M328" s="666"/>
      <c r="N328" s="666"/>
    </row>
    <row r="329" spans="1:14" s="675" customFormat="1" x14ac:dyDescent="0.2">
      <c r="A329" s="1542" t="s">
        <v>1193</v>
      </c>
      <c r="B329" s="691" t="s">
        <v>1194</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739</v>
      </c>
      <c r="B330" s="1691" t="s">
        <v>588</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320</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row>
    <row r="338" spans="1:14" ht="12.75" customHeight="1" x14ac:dyDescent="0.2">
      <c r="A338" s="1540" t="s">
        <v>1230</v>
      </c>
      <c r="B338" s="691" t="s">
        <v>636</v>
      </c>
      <c r="C338" s="639"/>
      <c r="D338" s="639"/>
      <c r="E338" s="639"/>
      <c r="F338" s="639"/>
      <c r="G338" s="639"/>
      <c r="H338" s="478"/>
      <c r="I338" s="639"/>
      <c r="J338" s="639"/>
      <c r="K338" s="1693">
        <f>H338</f>
        <v>0</v>
      </c>
      <c r="L338" s="478"/>
    </row>
    <row r="339" spans="1:14" x14ac:dyDescent="0.2">
      <c r="A339" s="1526" t="s">
        <v>955</v>
      </c>
      <c r="B339" s="629">
        <v>5150</v>
      </c>
      <c r="C339" s="639"/>
      <c r="D339" s="639"/>
      <c r="E339" s="639"/>
      <c r="F339" s="639"/>
      <c r="G339" s="639"/>
      <c r="H339" s="467"/>
      <c r="I339" s="639"/>
      <c r="J339" s="639"/>
      <c r="K339" s="1693">
        <f>H339</f>
        <v>0</v>
      </c>
      <c r="L339" s="467"/>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row>
    <row r="342" spans="1:14" ht="12.75" customHeight="1" thickTop="1" thickBot="1" x14ac:dyDescent="0.25">
      <c r="A342" s="1708" t="s">
        <v>524</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6" t="s">
        <v>1051</v>
      </c>
      <c r="B343" s="2187"/>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1021</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741</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1035</v>
      </c>
      <c r="B351" s="644" t="s">
        <v>593</v>
      </c>
      <c r="C351" s="481"/>
      <c r="D351" s="481"/>
      <c r="E351" s="481"/>
      <c r="F351" s="481"/>
      <c r="G351" s="481"/>
      <c r="H351" s="481"/>
      <c r="I351" s="478"/>
      <c r="J351" s="478"/>
      <c r="K351" s="616">
        <f>SUM(C351:J351)</f>
        <v>0</v>
      </c>
      <c r="L351" s="481"/>
    </row>
    <row r="352" spans="1:14" ht="12.75" customHeight="1" thickBot="1" x14ac:dyDescent="0.25">
      <c r="A352" s="1690" t="s">
        <v>643</v>
      </c>
      <c r="B352" s="1697" t="s">
        <v>588</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720</v>
      </c>
      <c r="B356" s="684" t="s">
        <v>577</v>
      </c>
      <c r="C356" s="617"/>
      <c r="D356" s="617"/>
      <c r="E356" s="617"/>
      <c r="F356" s="617"/>
      <c r="G356" s="617"/>
      <c r="H356" s="479"/>
      <c r="I356" s="702"/>
      <c r="J356" s="617"/>
      <c r="K356" s="1762">
        <f>H356</f>
        <v>0</v>
      </c>
      <c r="L356" s="479"/>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638</v>
      </c>
      <c r="B361" s="603" t="s">
        <v>637</v>
      </c>
      <c r="C361" s="617"/>
      <c r="D361" s="617"/>
      <c r="E361" s="617"/>
      <c r="F361" s="617"/>
      <c r="G361" s="617"/>
      <c r="H361" s="467"/>
      <c r="I361" s="617"/>
      <c r="J361" s="617"/>
      <c r="K361" s="1693">
        <f>SUM(C361:J361)</f>
        <v>0</v>
      </c>
      <c r="L361" s="466"/>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c r="M366" s="610"/>
      <c r="N366" s="610"/>
    </row>
    <row r="367" spans="1:14" ht="12.75" customHeight="1" thickTop="1" thickBot="1" x14ac:dyDescent="0.25">
      <c r="A367" s="1714" t="s">
        <v>524</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0" t="s">
        <v>1051</v>
      </c>
      <c r="B368" s="2201"/>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75" bottom="0.6"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&amp;F&amp;C&amp;"Open Sans,Regular"See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1903</v>
      </c>
      <c r="B2" s="1550" t="s">
        <v>2033</v>
      </c>
      <c r="C2" s="715" t="s">
        <v>1908</v>
      </c>
      <c r="D2" s="715" t="s">
        <v>1909</v>
      </c>
      <c r="E2" s="715" t="s">
        <v>1910</v>
      </c>
      <c r="F2" s="715" t="s">
        <v>1911</v>
      </c>
    </row>
    <row r="3" spans="1:6" ht="12" customHeight="1" x14ac:dyDescent="0.2">
      <c r="A3" s="2203"/>
      <c r="B3" s="1547"/>
      <c r="C3" s="1548"/>
      <c r="D3" s="1549" t="s">
        <v>274</v>
      </c>
      <c r="E3" s="1548"/>
      <c r="F3" s="1549" t="s">
        <v>275</v>
      </c>
    </row>
    <row r="4" spans="1:6" ht="13.7" customHeight="1" x14ac:dyDescent="0.2">
      <c r="A4" s="716" t="s">
        <v>1215</v>
      </c>
      <c r="B4" s="1771">
        <f>'Revenues 9-14'!C5</f>
        <v>0</v>
      </c>
      <c r="C4" s="1546"/>
      <c r="D4" s="1774">
        <f>B4-C4</f>
        <v>0</v>
      </c>
      <c r="E4" s="1546"/>
      <c r="F4" s="1774">
        <f>E4-C4</f>
        <v>0</v>
      </c>
    </row>
    <row r="5" spans="1:6" ht="13.7" customHeight="1" x14ac:dyDescent="0.2">
      <c r="A5" s="716" t="s">
        <v>923</v>
      </c>
      <c r="B5" s="1772">
        <f>'Revenues 9-14'!D5</f>
        <v>0</v>
      </c>
      <c r="C5" s="585"/>
      <c r="D5" s="1775">
        <f t="shared" ref="D5:D18" si="0">B5-C5</f>
        <v>0</v>
      </c>
      <c r="E5" s="585"/>
      <c r="F5" s="1775">
        <f>E5-C5</f>
        <v>0</v>
      </c>
    </row>
    <row r="6" spans="1:6" ht="13.7" customHeight="1" x14ac:dyDescent="0.2">
      <c r="A6" s="716" t="s">
        <v>429</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1239</v>
      </c>
      <c r="B8" s="1772">
        <f>'Revenues 9-14'!G5</f>
        <v>0</v>
      </c>
      <c r="C8" s="585"/>
      <c r="D8" s="1775">
        <f t="shared" si="0"/>
        <v>0</v>
      </c>
      <c r="E8" s="585"/>
      <c r="F8" s="1775">
        <f t="shared" si="1"/>
        <v>0</v>
      </c>
    </row>
    <row r="9" spans="1:6" ht="13.7" customHeight="1" x14ac:dyDescent="0.2">
      <c r="A9" s="716" t="s">
        <v>426</v>
      </c>
      <c r="B9" s="1772">
        <f>'Revenues 9-14'!H5</f>
        <v>0</v>
      </c>
      <c r="C9" s="585"/>
      <c r="D9" s="1775">
        <f t="shared" si="0"/>
        <v>0</v>
      </c>
      <c r="E9" s="585"/>
      <c r="F9" s="1775">
        <f t="shared" si="1"/>
        <v>0</v>
      </c>
    </row>
    <row r="10" spans="1:6" ht="13.7" customHeight="1" x14ac:dyDescent="0.2">
      <c r="A10" s="716" t="s">
        <v>425</v>
      </c>
      <c r="B10" s="1772">
        <f>'Revenues 9-14'!I5</f>
        <v>0</v>
      </c>
      <c r="C10" s="585"/>
      <c r="D10" s="1775">
        <f t="shared" si="0"/>
        <v>0</v>
      </c>
      <c r="E10" s="585"/>
      <c r="F10" s="1775">
        <f t="shared" si="1"/>
        <v>0</v>
      </c>
    </row>
    <row r="11" spans="1:6" x14ac:dyDescent="0.2">
      <c r="A11" s="716" t="s">
        <v>427</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991</v>
      </c>
      <c r="B13" s="1772">
        <f>SUM('Revenues 9-14'!C6:D6)</f>
        <v>0</v>
      </c>
      <c r="C13" s="585"/>
      <c r="D13" s="1775">
        <f t="shared" si="0"/>
        <v>0</v>
      </c>
      <c r="E13" s="585"/>
      <c r="F13" s="1775">
        <f t="shared" si="1"/>
        <v>0</v>
      </c>
    </row>
    <row r="14" spans="1:6" ht="13.7" customHeight="1" x14ac:dyDescent="0.2">
      <c r="A14" s="716" t="s">
        <v>428</v>
      </c>
      <c r="B14" s="1772">
        <f>SUM('Revenues 9-14'!C7:D7,'Revenues 9-14'!F7:H7)</f>
        <v>0</v>
      </c>
      <c r="C14" s="585"/>
      <c r="D14" s="1775">
        <f t="shared" si="0"/>
        <v>0</v>
      </c>
      <c r="E14" s="585"/>
      <c r="F14" s="1775">
        <f t="shared" si="1"/>
        <v>0</v>
      </c>
    </row>
    <row r="15" spans="1:6" ht="13.7" customHeight="1" x14ac:dyDescent="0.2">
      <c r="A15" s="716" t="s">
        <v>1218</v>
      </c>
      <c r="B15" s="1772">
        <f>'Revenues 9-14'!E9</f>
        <v>0</v>
      </c>
      <c r="C15" s="585"/>
      <c r="D15" s="1775">
        <f t="shared" si="0"/>
        <v>0</v>
      </c>
      <c r="E15" s="585"/>
      <c r="F15" s="1775">
        <f t="shared" si="1"/>
        <v>0</v>
      </c>
    </row>
    <row r="16" spans="1:6" ht="13.7" customHeight="1" x14ac:dyDescent="0.2">
      <c r="A16" s="716" t="s">
        <v>1219</v>
      </c>
      <c r="B16" s="1772">
        <f>'Revenues 9-14'!G8</f>
        <v>0</v>
      </c>
      <c r="C16" s="585"/>
      <c r="D16" s="1775">
        <f t="shared" si="0"/>
        <v>0</v>
      </c>
      <c r="E16" s="585"/>
      <c r="F16" s="1775">
        <f t="shared" si="1"/>
        <v>0</v>
      </c>
    </row>
    <row r="17" spans="1:6" ht="13.7" customHeight="1" x14ac:dyDescent="0.2">
      <c r="A17" s="716" t="s">
        <v>1220</v>
      </c>
      <c r="B17" s="1772">
        <f>'Revenues 9-14'!C10</f>
        <v>0</v>
      </c>
      <c r="C17" s="585"/>
      <c r="D17" s="1775">
        <f t="shared" si="0"/>
        <v>0</v>
      </c>
      <c r="E17" s="585"/>
      <c r="F17" s="1775">
        <f t="shared" si="1"/>
        <v>0</v>
      </c>
    </row>
    <row r="18" spans="1:6" ht="13.7" customHeight="1" x14ac:dyDescent="0.2">
      <c r="A18" s="716" t="s">
        <v>784</v>
      </c>
      <c r="B18" s="1772">
        <f>SUM('Revenues 9-14'!C11:K11)</f>
        <v>0</v>
      </c>
      <c r="C18" s="585"/>
      <c r="D18" s="1775">
        <f t="shared" si="0"/>
        <v>0</v>
      </c>
      <c r="E18" s="585"/>
      <c r="F18" s="1775">
        <f t="shared" si="1"/>
        <v>0</v>
      </c>
    </row>
    <row r="19" spans="1:6" ht="13.7" customHeight="1" thickBot="1" x14ac:dyDescent="0.25">
      <c r="A19" s="1776" t="s">
        <v>1221</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648</v>
      </c>
      <c r="B1" s="2209"/>
      <c r="C1" s="722"/>
    </row>
    <row r="2" spans="1:7" ht="33.75" x14ac:dyDescent="0.2">
      <c r="A2" s="2217" t="s">
        <v>1903</v>
      </c>
      <c r="B2" s="2218"/>
      <c r="C2" s="1909" t="s">
        <v>2034</v>
      </c>
      <c r="D2" s="724" t="s">
        <v>2041</v>
      </c>
      <c r="E2" s="724" t="s">
        <v>2042</v>
      </c>
      <c r="F2" s="1909" t="s">
        <v>2035</v>
      </c>
    </row>
    <row r="3" spans="1:7" ht="15.75" customHeight="1" x14ac:dyDescent="0.2">
      <c r="A3" s="2221" t="s">
        <v>1174</v>
      </c>
      <c r="B3" s="2222"/>
      <c r="C3" s="2210"/>
      <c r="D3" s="2211"/>
      <c r="E3" s="2211"/>
      <c r="F3" s="2212"/>
    </row>
    <row r="4" spans="1:7" ht="12.75" customHeight="1" thickBot="1" x14ac:dyDescent="0.25">
      <c r="A4" s="2219" t="s">
        <v>649</v>
      </c>
      <c r="B4" s="2220"/>
      <c r="C4" s="581"/>
      <c r="D4" s="581"/>
      <c r="E4" s="581"/>
      <c r="F4" s="1777">
        <f>SUM(C4+D4)-E4</f>
        <v>0</v>
      </c>
    </row>
    <row r="5" spans="1:7" ht="15.75" customHeight="1" thickTop="1" x14ac:dyDescent="0.2">
      <c r="A5" s="2204" t="s">
        <v>1170</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06" t="s">
        <v>650</v>
      </c>
      <c r="B15" s="2207"/>
      <c r="C15" s="1777">
        <f>SUM(C6:C14)</f>
        <v>0</v>
      </c>
      <c r="D15" s="1777">
        <f>SUM(D6:D14)</f>
        <v>0</v>
      </c>
      <c r="E15" s="1777">
        <f>SUM(E6:E14)</f>
        <v>0</v>
      </c>
      <c r="F15" s="1777">
        <f>SUM(F6:F14)</f>
        <v>0</v>
      </c>
      <c r="G15" s="552"/>
    </row>
    <row r="16" spans="1:7" s="202" customFormat="1" ht="15.75" customHeight="1" thickTop="1" x14ac:dyDescent="0.2">
      <c r="A16" s="2216" t="s">
        <v>1171</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404</v>
      </c>
      <c r="B19" s="2230"/>
      <c r="C19" s="727"/>
      <c r="D19" s="585"/>
      <c r="E19" s="727"/>
      <c r="F19" s="1777">
        <f>SUM(C19+D19)-E19</f>
        <v>0</v>
      </c>
    </row>
    <row r="20" spans="1:11" ht="12.75" customHeight="1" thickTop="1" thickBot="1" x14ac:dyDescent="0.25">
      <c r="A20" s="2229" t="s">
        <v>466</v>
      </c>
      <c r="B20" s="2230"/>
      <c r="C20" s="727"/>
      <c r="D20" s="585"/>
      <c r="E20" s="727"/>
      <c r="F20" s="1777">
        <f>SUM(C20+D20)-E20</f>
        <v>0</v>
      </c>
    </row>
    <row r="21" spans="1:11" ht="14.25" thickTop="1" thickBot="1" x14ac:dyDescent="0.25">
      <c r="A21" s="2206" t="s">
        <v>651</v>
      </c>
      <c r="B21" s="2207"/>
      <c r="C21" s="1777">
        <f>SUM(C17:C20)</f>
        <v>0</v>
      </c>
      <c r="D21" s="1777">
        <f>SUM(D17:D20)</f>
        <v>0</v>
      </c>
      <c r="E21" s="1777">
        <f>SUM(E17:E20)</f>
        <v>0</v>
      </c>
      <c r="F21" s="1777">
        <f>SUM(F17:F20)</f>
        <v>0</v>
      </c>
      <c r="G21" s="552"/>
    </row>
    <row r="22" spans="1:11" ht="15.75" customHeight="1" thickTop="1" x14ac:dyDescent="0.2">
      <c r="A22" s="2231" t="s">
        <v>1172</v>
      </c>
      <c r="B22" s="2205"/>
      <c r="C22" s="2213"/>
      <c r="D22" s="2214"/>
      <c r="E22" s="2214"/>
      <c r="F22" s="2215"/>
    </row>
    <row r="23" spans="1:11" ht="13.5" thickBot="1" x14ac:dyDescent="0.25">
      <c r="A23" s="2219" t="s">
        <v>652</v>
      </c>
      <c r="B23" s="2220"/>
      <c r="C23" s="581"/>
      <c r="D23" s="581"/>
      <c r="E23" s="581"/>
      <c r="F23" s="1777">
        <f>SUM(C23+D23)-E23</f>
        <v>0</v>
      </c>
      <c r="G23" s="552"/>
    </row>
    <row r="24" spans="1:11" ht="15.75" customHeight="1" thickTop="1" x14ac:dyDescent="0.2">
      <c r="A24" s="2231" t="s">
        <v>1173</v>
      </c>
      <c r="B24" s="2205"/>
      <c r="C24" s="2213"/>
      <c r="D24" s="2214"/>
      <c r="E24" s="2214"/>
      <c r="F24" s="2215"/>
    </row>
    <row r="25" spans="1:11" ht="13.5" thickBot="1" x14ac:dyDescent="0.25">
      <c r="A25" s="2219" t="s">
        <v>653</v>
      </c>
      <c r="B25" s="2220"/>
      <c r="C25" s="581"/>
      <c r="D25" s="581"/>
      <c r="E25" s="581"/>
      <c r="F25" s="1777">
        <f>SUM(C25+D25)-E25</f>
        <v>0</v>
      </c>
      <c r="G25" s="552"/>
    </row>
    <row r="26" spans="1:11" ht="15.75" customHeight="1" thickTop="1" x14ac:dyDescent="0.2">
      <c r="A26" s="2204" t="s">
        <v>676</v>
      </c>
      <c r="B26" s="2205"/>
      <c r="C26" s="728"/>
      <c r="D26" s="728"/>
      <c r="E26" s="728"/>
      <c r="F26" s="729"/>
    </row>
    <row r="27" spans="1:11" ht="13.5" thickBot="1" x14ac:dyDescent="0.25">
      <c r="A27" s="2206" t="s">
        <v>1128</v>
      </c>
      <c r="B27" s="2207"/>
      <c r="C27" s="585"/>
      <c r="D27" s="585"/>
      <c r="E27" s="585"/>
      <c r="F27" s="1777">
        <f>SUM(C27+D27)-E27</f>
        <v>0</v>
      </c>
      <c r="G27" s="552"/>
    </row>
    <row r="28" spans="1:11" ht="7.5" customHeight="1" thickTop="1" x14ac:dyDescent="0.2">
      <c r="A28" s="594"/>
    </row>
    <row r="29" spans="1:11" ht="23.25" customHeight="1" x14ac:dyDescent="0.2">
      <c r="A29" s="2232" t="s">
        <v>601</v>
      </c>
      <c r="B29" s="2209"/>
      <c r="C29" s="730"/>
      <c r="D29" s="730"/>
      <c r="E29" s="730"/>
      <c r="F29" s="730"/>
      <c r="G29" s="730"/>
      <c r="H29" s="730"/>
      <c r="I29" s="730"/>
      <c r="J29" s="730"/>
    </row>
    <row r="30" spans="1:11" ht="33.75" x14ac:dyDescent="0.2">
      <c r="A30" s="1551" t="s">
        <v>1129</v>
      </c>
      <c r="B30" s="731" t="s">
        <v>1184</v>
      </c>
      <c r="C30" s="1910" t="s">
        <v>602</v>
      </c>
      <c r="D30" s="1910" t="s">
        <v>1770</v>
      </c>
      <c r="E30" s="1910" t="s">
        <v>2036</v>
      </c>
      <c r="F30" s="1910" t="s">
        <v>2037</v>
      </c>
      <c r="G30" s="1910" t="s">
        <v>2040</v>
      </c>
      <c r="H30" s="1910" t="s">
        <v>2038</v>
      </c>
      <c r="I30" s="1910" t="s">
        <v>2039</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23" t="s">
        <v>603</v>
      </c>
      <c r="C52" s="2224"/>
      <c r="D52" s="2224"/>
      <c r="E52" s="750" t="s">
        <v>898</v>
      </c>
      <c r="F52" s="2225"/>
      <c r="G52" s="2226"/>
      <c r="H52" s="737"/>
      <c r="I52" s="737"/>
      <c r="J52" s="747"/>
    </row>
    <row r="53" spans="1:11" ht="11.25" customHeight="1" x14ac:dyDescent="0.2">
      <c r="A53" s="751" t="s">
        <v>967</v>
      </c>
      <c r="B53" s="752" t="s">
        <v>1006</v>
      </c>
      <c r="C53" s="747"/>
      <c r="D53" s="738"/>
      <c r="E53" s="750" t="s">
        <v>516</v>
      </c>
      <c r="F53" s="2227"/>
      <c r="G53" s="2228"/>
      <c r="H53" s="737"/>
      <c r="I53" s="737"/>
      <c r="J53" s="747"/>
    </row>
    <row r="54" spans="1:11" ht="11.25" customHeight="1" x14ac:dyDescent="0.2">
      <c r="A54" s="753" t="s">
        <v>968</v>
      </c>
      <c r="B54" s="748" t="s">
        <v>1007</v>
      </c>
      <c r="C54" s="747"/>
      <c r="D54" s="738"/>
      <c r="E54" s="750" t="s">
        <v>517</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42578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909</v>
      </c>
      <c r="B1" s="2258"/>
      <c r="C1" s="2258"/>
      <c r="D1" s="2258"/>
      <c r="E1" s="2258"/>
      <c r="F1" s="2258"/>
      <c r="G1" s="2259"/>
      <c r="H1" s="1552"/>
      <c r="I1" s="761"/>
      <c r="J1" s="433"/>
    </row>
    <row r="2" spans="1:11" ht="26.25" x14ac:dyDescent="0.2">
      <c r="A2" s="2236" t="s">
        <v>1774</v>
      </c>
      <c r="B2" s="2237"/>
      <c r="C2" s="2237"/>
      <c r="D2" s="2237"/>
      <c r="E2" s="2238"/>
      <c r="F2" s="762" t="s">
        <v>958</v>
      </c>
      <c r="G2" s="763" t="s">
        <v>1771</v>
      </c>
      <c r="H2" s="763" t="s">
        <v>428</v>
      </c>
      <c r="I2" s="763" t="s">
        <v>1218</v>
      </c>
      <c r="J2" s="763" t="s">
        <v>1917</v>
      </c>
      <c r="K2" s="763" t="s">
        <v>140</v>
      </c>
    </row>
    <row r="3" spans="1:11" x14ac:dyDescent="0.2">
      <c r="A3" s="2239" t="s">
        <v>1696</v>
      </c>
      <c r="B3" s="2240"/>
      <c r="C3" s="2240"/>
      <c r="D3" s="2240"/>
      <c r="E3" s="2241"/>
      <c r="F3" s="764"/>
      <c r="G3" s="765"/>
      <c r="H3" s="765"/>
      <c r="I3" s="765"/>
      <c r="J3" s="766"/>
      <c r="K3" s="766"/>
    </row>
    <row r="4" spans="1:11" x14ac:dyDescent="0.2">
      <c r="A4" s="2242" t="s">
        <v>385</v>
      </c>
      <c r="B4" s="2243"/>
      <c r="C4" s="2243"/>
      <c r="D4" s="2243"/>
      <c r="E4" s="2224"/>
      <c r="F4" s="767"/>
      <c r="G4" s="768"/>
      <c r="H4" s="769"/>
      <c r="I4" s="768"/>
      <c r="J4" s="770"/>
      <c r="K4" s="770"/>
    </row>
    <row r="5" spans="1:11" x14ac:dyDescent="0.2">
      <c r="A5" s="2260" t="s">
        <v>1127</v>
      </c>
      <c r="B5" s="2233"/>
      <c r="C5" s="2233"/>
      <c r="D5" s="2233"/>
      <c r="E5" s="2261"/>
      <c r="F5" s="771" t="s">
        <v>901</v>
      </c>
      <c r="G5" s="772"/>
      <c r="H5" s="765"/>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60" t="s">
        <v>1918</v>
      </c>
      <c r="B10" s="2233"/>
      <c r="C10" s="2233"/>
      <c r="D10" s="2233"/>
      <c r="E10" s="2262"/>
      <c r="F10" s="784" t="s">
        <v>915</v>
      </c>
      <c r="G10" s="783"/>
      <c r="H10" s="785"/>
      <c r="I10" s="765"/>
      <c r="J10" s="766"/>
      <c r="K10" s="766"/>
    </row>
    <row r="11" spans="1:11" x14ac:dyDescent="0.2">
      <c r="A11" s="2260" t="s">
        <v>162</v>
      </c>
      <c r="B11" s="2233"/>
      <c r="C11" s="2233"/>
      <c r="D11" s="2233"/>
      <c r="E11" s="2261"/>
      <c r="F11" s="771" t="s">
        <v>905</v>
      </c>
      <c r="G11" s="772"/>
      <c r="H11" s="765"/>
      <c r="I11" s="765"/>
      <c r="J11" s="766"/>
      <c r="K11" s="774"/>
    </row>
    <row r="12" spans="1:11" ht="13.5" thickBot="1" x14ac:dyDescent="0.25">
      <c r="A12" s="2250" t="s">
        <v>959</v>
      </c>
      <c r="B12" s="2251"/>
      <c r="C12" s="2251"/>
      <c r="D12" s="2251"/>
      <c r="E12" s="2252"/>
      <c r="F12" s="1779"/>
      <c r="G12" s="1780">
        <f>SUM(G5:G11)</f>
        <v>0</v>
      </c>
      <c r="H12" s="1780">
        <f>SUM(H5:H11)</f>
        <v>0</v>
      </c>
      <c r="I12" s="1780">
        <f>SUM(I5:I11)</f>
        <v>0</v>
      </c>
      <c r="J12" s="1780">
        <f>SUM(J5:J11)</f>
        <v>0</v>
      </c>
      <c r="K12" s="1780">
        <f>SUM(K5:K11)</f>
        <v>0</v>
      </c>
    </row>
    <row r="13" spans="1:11" ht="13.5" thickTop="1" x14ac:dyDescent="0.2">
      <c r="A13" s="2244" t="s">
        <v>386</v>
      </c>
      <c r="B13" s="2245"/>
      <c r="C13" s="2245"/>
      <c r="D13" s="2245"/>
      <c r="E13" s="2246"/>
      <c r="F13" s="786"/>
      <c r="G13" s="787"/>
      <c r="H13" s="788"/>
      <c r="I13" s="789"/>
      <c r="J13" s="789"/>
      <c r="K13" s="789"/>
    </row>
    <row r="14" spans="1:11" x14ac:dyDescent="0.2">
      <c r="A14" s="2266" t="s">
        <v>474</v>
      </c>
      <c r="B14" s="2266"/>
      <c r="C14" s="2266"/>
      <c r="D14" s="2266"/>
      <c r="E14" s="2267"/>
      <c r="F14" s="790" t="s">
        <v>907</v>
      </c>
      <c r="G14" s="783"/>
      <c r="H14" s="765"/>
      <c r="I14" s="772"/>
      <c r="J14" s="774"/>
      <c r="K14" s="766"/>
    </row>
    <row r="15" spans="1:11" x14ac:dyDescent="0.2">
      <c r="A15" s="2233" t="s">
        <v>4</v>
      </c>
      <c r="B15" s="2233"/>
      <c r="C15" s="2233"/>
      <c r="D15" s="2233"/>
      <c r="E15" s="2261"/>
      <c r="F15" s="790" t="s">
        <v>908</v>
      </c>
      <c r="G15" s="772"/>
      <c r="H15" s="765"/>
      <c r="I15" s="765"/>
      <c r="J15" s="766"/>
      <c r="K15" s="766"/>
    </row>
    <row r="16" spans="1:11" x14ac:dyDescent="0.2">
      <c r="A16" s="2233" t="s">
        <v>314</v>
      </c>
      <c r="B16" s="2233"/>
      <c r="C16" s="2233"/>
      <c r="D16" s="2233"/>
      <c r="E16" s="2261"/>
      <c r="F16" s="790" t="s">
        <v>978</v>
      </c>
      <c r="G16" s="773"/>
      <c r="H16" s="768"/>
      <c r="I16" s="768"/>
      <c r="J16" s="770"/>
      <c r="K16" s="770"/>
    </row>
    <row r="17" spans="1:11" x14ac:dyDescent="0.2">
      <c r="A17" s="2255" t="s">
        <v>990</v>
      </c>
      <c r="B17" s="2255"/>
      <c r="C17" s="2255"/>
      <c r="D17" s="2255"/>
      <c r="E17" s="2256"/>
      <c r="F17" s="791"/>
      <c r="G17" s="792"/>
      <c r="H17" s="793"/>
      <c r="I17" s="793"/>
      <c r="J17" s="794"/>
      <c r="K17" s="795"/>
    </row>
    <row r="18" spans="1:11" x14ac:dyDescent="0.2">
      <c r="A18" s="2247" t="s">
        <v>384</v>
      </c>
      <c r="B18" s="2248"/>
      <c r="C18" s="2248"/>
      <c r="D18" s="2248"/>
      <c r="E18" s="2249"/>
      <c r="F18" s="790" t="s">
        <v>987</v>
      </c>
      <c r="G18" s="783"/>
      <c r="H18" s="783"/>
      <c r="I18" s="783"/>
      <c r="J18" s="766"/>
      <c r="K18" s="796"/>
    </row>
    <row r="19" spans="1:11" ht="21.75" customHeight="1" x14ac:dyDescent="0.2">
      <c r="A19" s="2268" t="s">
        <v>1914</v>
      </c>
      <c r="B19" s="2268"/>
      <c r="C19" s="2268"/>
      <c r="D19" s="2268"/>
      <c r="E19" s="2269"/>
      <c r="F19" s="790" t="s">
        <v>988</v>
      </c>
      <c r="G19" s="783"/>
      <c r="H19" s="783"/>
      <c r="I19" s="783"/>
      <c r="J19" s="766"/>
      <c r="K19" s="796"/>
    </row>
    <row r="20" spans="1:11" x14ac:dyDescent="0.2">
      <c r="A20" s="2247" t="s">
        <v>1919</v>
      </c>
      <c r="B20" s="2248"/>
      <c r="C20" s="2248"/>
      <c r="D20" s="2248"/>
      <c r="E20" s="2249"/>
      <c r="F20" s="790" t="s">
        <v>989</v>
      </c>
      <c r="G20" s="783"/>
      <c r="H20" s="783"/>
      <c r="I20" s="783"/>
      <c r="J20" s="766"/>
      <c r="K20" s="796"/>
    </row>
    <row r="21" spans="1:11" ht="13.5" thickBot="1" x14ac:dyDescent="0.25">
      <c r="A21" s="2253" t="s">
        <v>657</v>
      </c>
      <c r="B21" s="2253"/>
      <c r="C21" s="2253"/>
      <c r="D21" s="2253"/>
      <c r="E21" s="2253"/>
      <c r="F21" s="1781"/>
      <c r="G21" s="793"/>
      <c r="H21" s="797"/>
      <c r="I21" s="797"/>
      <c r="J21" s="1782">
        <f>SUM(J18:J20)</f>
        <v>0</v>
      </c>
      <c r="K21" s="794"/>
    </row>
    <row r="22" spans="1:11" ht="13.5" thickTop="1" x14ac:dyDescent="0.2">
      <c r="A22" s="2233" t="s">
        <v>1920</v>
      </c>
      <c r="B22" s="2233"/>
      <c r="C22" s="2233"/>
      <c r="D22" s="2233"/>
      <c r="E22" s="2261"/>
      <c r="F22" s="790" t="s">
        <v>915</v>
      </c>
      <c r="G22" s="783"/>
      <c r="H22" s="765"/>
      <c r="I22" s="765"/>
      <c r="J22" s="798"/>
      <c r="K22" s="766"/>
    </row>
    <row r="23" spans="1:11" ht="13.5" thickBot="1" x14ac:dyDescent="0.25">
      <c r="A23" s="2254" t="s">
        <v>960</v>
      </c>
      <c r="B23" s="2253"/>
      <c r="C23" s="2253"/>
      <c r="D23" s="2253"/>
      <c r="E23" s="2253"/>
      <c r="F23" s="1783"/>
      <c r="G23" s="1780">
        <f>SUM(G14:G16,G21,G22)</f>
        <v>0</v>
      </c>
      <c r="H23" s="1780">
        <f>SUM(H14:H16,H21,H22)</f>
        <v>0</v>
      </c>
      <c r="I23" s="1780">
        <f>SUM(I14:I16,I21,I22)</f>
        <v>0</v>
      </c>
      <c r="J23" s="1780">
        <f>SUM(J14:J16,J21,J22)</f>
        <v>0</v>
      </c>
      <c r="K23" s="1780">
        <f>SUM(K14:K16,K21,K22)</f>
        <v>0</v>
      </c>
    </row>
    <row r="24" spans="1:11" ht="14.25" thickTop="1" thickBot="1" x14ac:dyDescent="0.25">
      <c r="A24" s="2254" t="s">
        <v>2022</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c r="E30" s="809" t="s">
        <v>790</v>
      </c>
      <c r="F30" s="202"/>
      <c r="G30" s="806"/>
    </row>
    <row r="31" spans="1:11" x14ac:dyDescent="0.2">
      <c r="A31" s="810"/>
      <c r="D31" s="237"/>
      <c r="E31" s="811" t="s">
        <v>791</v>
      </c>
      <c r="F31" s="812" t="s">
        <v>558</v>
      </c>
      <c r="G31" s="765"/>
      <c r="H31" s="2263"/>
      <c r="I31" s="2264"/>
      <c r="J31" s="2264"/>
      <c r="K31" s="2264"/>
    </row>
    <row r="32" spans="1:11" x14ac:dyDescent="0.2">
      <c r="A32" s="810"/>
      <c r="B32" s="237"/>
      <c r="C32" s="237"/>
      <c r="D32" s="237"/>
      <c r="E32" s="806"/>
      <c r="F32" s="812" t="s">
        <v>559</v>
      </c>
      <c r="G32" s="765"/>
      <c r="H32" s="2265"/>
      <c r="I32" s="2264"/>
      <c r="J32" s="2264"/>
      <c r="K32" s="2264"/>
    </row>
    <row r="33" spans="1:11" ht="1.5" customHeight="1" x14ac:dyDescent="0.2">
      <c r="A33" s="813" t="s">
        <v>1229</v>
      </c>
      <c r="B33" s="364"/>
      <c r="C33" s="364"/>
      <c r="D33" s="364"/>
      <c r="E33" s="364"/>
      <c r="F33" s="364"/>
      <c r="G33" s="814"/>
      <c r="H33" s="2265"/>
      <c r="I33" s="2264"/>
      <c r="J33" s="2264"/>
      <c r="K33" s="2264"/>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33" t="s">
        <v>560</v>
      </c>
      <c r="B41" s="2234"/>
      <c r="C41" s="2234"/>
      <c r="D41" s="2234"/>
      <c r="E41" s="2234"/>
      <c r="F41" s="2235"/>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42578125" style="457" customWidth="1"/>
    <col min="12" max="12" width="13.85546875" style="457" customWidth="1"/>
    <col min="13" max="16384" width="9.140625" style="457"/>
  </cols>
  <sheetData>
    <row r="1" spans="1:14" ht="33" customHeight="1" x14ac:dyDescent="0.2">
      <c r="A1" s="2272" t="s">
        <v>2031</v>
      </c>
      <c r="B1" s="2273"/>
      <c r="C1" s="2274"/>
      <c r="D1" s="827"/>
      <c r="E1" s="828"/>
      <c r="F1" s="828"/>
      <c r="G1" s="829"/>
      <c r="H1" s="830"/>
      <c r="I1" s="831"/>
      <c r="J1" s="2270"/>
      <c r="K1" s="2271"/>
      <c r="L1" s="2271"/>
    </row>
    <row r="2" spans="1:14" ht="69.75" customHeight="1" x14ac:dyDescent="0.2">
      <c r="A2" s="832" t="s">
        <v>1775</v>
      </c>
      <c r="B2" s="833" t="s">
        <v>394</v>
      </c>
      <c r="C2" s="834" t="s">
        <v>2026</v>
      </c>
      <c r="D2" s="834" t="s">
        <v>2023</v>
      </c>
      <c r="E2" s="834" t="s">
        <v>2024</v>
      </c>
      <c r="F2" s="834" t="s">
        <v>2025</v>
      </c>
      <c r="G2" s="834" t="s">
        <v>624</v>
      </c>
      <c r="H2" s="834" t="s">
        <v>2027</v>
      </c>
      <c r="I2" s="834" t="s">
        <v>2028</v>
      </c>
      <c r="J2" s="834" t="s">
        <v>2043</v>
      </c>
      <c r="K2" s="834" t="s">
        <v>2029</v>
      </c>
      <c r="L2" s="834" t="s">
        <v>2030</v>
      </c>
      <c r="M2" s="835"/>
      <c r="N2" s="835"/>
    </row>
    <row r="3" spans="1:14" ht="13.5" thickBot="1" x14ac:dyDescent="0.25">
      <c r="A3" s="1651" t="s">
        <v>946</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c r="D5" s="842"/>
      <c r="E5" s="842"/>
      <c r="F5" s="1782">
        <f>(C5+D5)-E5</f>
        <v>0</v>
      </c>
      <c r="G5" s="838"/>
      <c r="H5" s="843"/>
      <c r="I5" s="843"/>
      <c r="J5" s="843"/>
      <c r="K5" s="794"/>
      <c r="L5" s="1791">
        <f>F5-K5</f>
        <v>0</v>
      </c>
    </row>
    <row r="6" spans="1:14" ht="14.25" thickTop="1" thickBot="1" x14ac:dyDescent="0.25">
      <c r="A6" s="779" t="s">
        <v>1177</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c r="D8" s="845"/>
      <c r="E8" s="845"/>
      <c r="F8" s="1782">
        <f>(C8+D8)-E8</f>
        <v>0</v>
      </c>
      <c r="G8" s="844">
        <v>50</v>
      </c>
      <c r="H8" s="766"/>
      <c r="I8" s="766"/>
      <c r="J8" s="766"/>
      <c r="K8" s="1791">
        <f>(H8+I8)-J8</f>
        <v>0</v>
      </c>
      <c r="L8" s="1791">
        <f>F8-K8</f>
        <v>0</v>
      </c>
    </row>
    <row r="9" spans="1:14" ht="14.25" thickTop="1" thickBot="1" x14ac:dyDescent="0.25">
      <c r="A9" s="779" t="s">
        <v>1179</v>
      </c>
      <c r="B9" s="841">
        <v>232</v>
      </c>
      <c r="C9" s="766"/>
      <c r="D9" s="766"/>
      <c r="E9" s="766"/>
      <c r="F9" s="1782">
        <f>(C9+D9)-E9</f>
        <v>0</v>
      </c>
      <c r="G9" s="844">
        <v>20</v>
      </c>
      <c r="H9" s="766"/>
      <c r="I9" s="766"/>
      <c r="J9" s="766"/>
      <c r="K9" s="1791">
        <f>(H9+I9)-J9</f>
        <v>0</v>
      </c>
      <c r="L9" s="1791">
        <f>F9-K9</f>
        <v>0</v>
      </c>
    </row>
    <row r="10" spans="1:14" ht="24" thickTop="1" thickBot="1" x14ac:dyDescent="0.25">
      <c r="A10" s="846" t="s">
        <v>1180</v>
      </c>
      <c r="B10" s="841">
        <v>240</v>
      </c>
      <c r="C10" s="847"/>
      <c r="D10" s="847"/>
      <c r="E10" s="847"/>
      <c r="F10" s="1786">
        <f>(C10+D10)-E10</f>
        <v>0</v>
      </c>
      <c r="G10" s="844">
        <v>20</v>
      </c>
      <c r="H10" s="848"/>
      <c r="I10" s="848"/>
      <c r="J10" s="848"/>
      <c r="K10" s="1791">
        <f>(H10+I10)-J10</f>
        <v>0</v>
      </c>
      <c r="L10" s="1791">
        <f>F10-K10</f>
        <v>0</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1043154</v>
      </c>
      <c r="D12" s="845">
        <v>30041</v>
      </c>
      <c r="E12" s="845"/>
      <c r="F12" s="1782">
        <f>(C12+D12)-E12</f>
        <v>1073195</v>
      </c>
      <c r="G12" s="844">
        <v>10</v>
      </c>
      <c r="H12" s="766">
        <v>865968</v>
      </c>
      <c r="I12" s="766">
        <v>36220</v>
      </c>
      <c r="J12" s="766"/>
      <c r="K12" s="1791">
        <f>(H12+I12)-J12</f>
        <v>902188</v>
      </c>
      <c r="L12" s="1791">
        <f>F12-K12</f>
        <v>171007</v>
      </c>
    </row>
    <row r="13" spans="1:14" ht="14.25" thickTop="1" thickBot="1" x14ac:dyDescent="0.25">
      <c r="A13" s="849" t="s">
        <v>1182</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1183</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547</v>
      </c>
      <c r="B15" s="1652">
        <v>260</v>
      </c>
      <c r="C15" s="845"/>
      <c r="D15" s="845"/>
      <c r="E15" s="845"/>
      <c r="F15" s="1782">
        <f>(C15+D15)-E15</f>
        <v>0</v>
      </c>
      <c r="G15" s="850" t="s">
        <v>915</v>
      </c>
      <c r="H15" s="782"/>
      <c r="I15" s="782"/>
      <c r="J15" s="782"/>
      <c r="K15" s="782"/>
      <c r="L15" s="1791">
        <f>F15-K15</f>
        <v>0</v>
      </c>
    </row>
    <row r="16" spans="1:14" ht="15" customHeight="1" thickTop="1" thickBot="1" x14ac:dyDescent="0.25">
      <c r="A16" s="1787" t="s">
        <v>662</v>
      </c>
      <c r="B16" s="1788">
        <v>200</v>
      </c>
      <c r="C16" s="1782">
        <f>SUM(C3,C5:C6,C8:C10,C12:C15)</f>
        <v>1043154</v>
      </c>
      <c r="D16" s="1782">
        <f>SUM(D3,D5:D6,D8:D10,D12:D15)</f>
        <v>30041</v>
      </c>
      <c r="E16" s="1782">
        <f>SUM(E3,E5:E6,E8:E10,E12:E15)</f>
        <v>0</v>
      </c>
      <c r="F16" s="1782">
        <f>SUM(F3,F5:F6,F8:F10,F12:F15)</f>
        <v>1073195</v>
      </c>
      <c r="G16" s="844"/>
      <c r="H16" s="1782">
        <f>SUM(H3,H6,H8:H10,H12:H14,)</f>
        <v>865968</v>
      </c>
      <c r="I16" s="1782">
        <f>SUM(I3,I6,I8:I10,I12:I14,)</f>
        <v>36220</v>
      </c>
      <c r="J16" s="1782">
        <f>SUM(J3,J6,J8:J10,J12:J14,)</f>
        <v>0</v>
      </c>
      <c r="K16" s="1782">
        <f>(H16+I16)-J16</f>
        <v>902188</v>
      </c>
      <c r="L16" s="1782">
        <f>F16-K16</f>
        <v>171007</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36220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5"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1697</v>
      </c>
      <c r="B1" s="2279"/>
      <c r="C1" s="2279"/>
      <c r="D1" s="2279"/>
      <c r="E1" s="2279"/>
      <c r="F1" s="2280"/>
      <c r="G1" s="856"/>
    </row>
    <row r="2" spans="1:7" ht="15" customHeight="1" thickBot="1" x14ac:dyDescent="0.25">
      <c r="A2" s="2281" t="s">
        <v>496</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4"/>
      <c r="B5" s="2285"/>
      <c r="C5" s="2285"/>
      <c r="D5" s="2285"/>
      <c r="E5" s="2285"/>
      <c r="F5" s="2285"/>
    </row>
    <row r="6" spans="1:7" ht="13.7" customHeight="1" thickBot="1" x14ac:dyDescent="0.25">
      <c r="A6" s="2275" t="s">
        <v>1164</v>
      </c>
      <c r="B6" s="2276"/>
      <c r="C6" s="2276"/>
      <c r="D6" s="2276"/>
      <c r="E6" s="2276"/>
      <c r="F6" s="2277"/>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840933</v>
      </c>
      <c r="G8" s="866"/>
    </row>
    <row r="9" spans="1:7" x14ac:dyDescent="0.2">
      <c r="A9" s="870" t="s">
        <v>478</v>
      </c>
      <c r="B9" s="871" t="s">
        <v>1986</v>
      </c>
      <c r="C9" s="872"/>
      <c r="D9" s="870" t="s">
        <v>520</v>
      </c>
      <c r="E9" s="869"/>
      <c r="F9" s="1935">
        <f>'Expenditures 15-22'!K151</f>
        <v>19093</v>
      </c>
      <c r="G9" s="873"/>
    </row>
    <row r="10" spans="1:7" x14ac:dyDescent="0.2">
      <c r="A10" s="870" t="s">
        <v>518</v>
      </c>
      <c r="B10" s="871" t="s">
        <v>1987</v>
      </c>
      <c r="C10" s="872"/>
      <c r="D10" s="870" t="s">
        <v>520</v>
      </c>
      <c r="E10" s="869"/>
      <c r="F10" s="1935">
        <f>'Expenditures 15-22'!K174</f>
        <v>0</v>
      </c>
      <c r="G10" s="873"/>
    </row>
    <row r="11" spans="1:7" x14ac:dyDescent="0.2">
      <c r="A11" s="870" t="s">
        <v>479</v>
      </c>
      <c r="B11" s="871" t="s">
        <v>1988</v>
      </c>
      <c r="C11" s="872"/>
      <c r="D11" s="870" t="s">
        <v>520</v>
      </c>
      <c r="E11" s="869"/>
      <c r="F11" s="1935">
        <f>'Expenditures 15-22'!K210</f>
        <v>27055</v>
      </c>
      <c r="G11" s="873"/>
    </row>
    <row r="12" spans="1:7" x14ac:dyDescent="0.2">
      <c r="A12" s="870" t="s">
        <v>480</v>
      </c>
      <c r="B12" s="871" t="s">
        <v>1989</v>
      </c>
      <c r="C12" s="872"/>
      <c r="D12" s="870" t="s">
        <v>520</v>
      </c>
      <c r="E12" s="869"/>
      <c r="F12" s="1935">
        <f>'Expenditures 15-22'!K295</f>
        <v>0</v>
      </c>
      <c r="G12" s="873"/>
    </row>
    <row r="13" spans="1:7" x14ac:dyDescent="0.2">
      <c r="A13" s="870" t="s">
        <v>108</v>
      </c>
      <c r="B13" s="871" t="s">
        <v>1990</v>
      </c>
      <c r="C13" s="872"/>
      <c r="D13" s="870" t="s">
        <v>520</v>
      </c>
      <c r="E13" s="869"/>
      <c r="F13" s="1935">
        <f>'Expenditures 15-22'!K342</f>
        <v>0</v>
      </c>
      <c r="G13" s="874"/>
    </row>
    <row r="14" spans="1:7" ht="12" customHeight="1" thickBot="1" x14ac:dyDescent="0.25">
      <c r="A14" s="1792"/>
      <c r="B14" s="1793"/>
      <c r="C14" s="1794"/>
      <c r="D14" s="1795" t="s">
        <v>520</v>
      </c>
      <c r="E14" s="1796" t="s">
        <v>1013</v>
      </c>
      <c r="F14" s="1797">
        <f>SUM(F8:F13)</f>
        <v>887081</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7"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0</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0</v>
      </c>
      <c r="G53" s="866"/>
    </row>
    <row r="54" spans="1:7" x14ac:dyDescent="0.2">
      <c r="A54" s="870" t="s">
        <v>477</v>
      </c>
      <c r="B54" s="870" t="s">
        <v>1550</v>
      </c>
      <c r="C54" s="890" t="s">
        <v>1037</v>
      </c>
      <c r="D54" s="886" t="s">
        <v>1155</v>
      </c>
      <c r="E54" s="869"/>
      <c r="F54" s="1939">
        <f>'Expenditures 15-22'!G114</f>
        <v>30041</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1991</v>
      </c>
      <c r="C57" s="890">
        <f>'Expenditures 15-22'!B139</f>
        <v>4000</v>
      </c>
      <c r="D57" s="888" t="str">
        <f>'Expenditures 15-22'!A139</f>
        <v>Total Payments to Other Govt Units</v>
      </c>
      <c r="E57" s="869"/>
      <c r="F57" s="1939">
        <f>'Expenditures 15-22'!K139</f>
        <v>0</v>
      </c>
      <c r="G57" s="866"/>
    </row>
    <row r="58" spans="1:7" x14ac:dyDescent="0.2">
      <c r="A58" s="870" t="s">
        <v>478</v>
      </c>
      <c r="B58" s="870" t="s">
        <v>1992</v>
      </c>
      <c r="C58" s="887" t="s">
        <v>1037</v>
      </c>
      <c r="D58" s="886" t="s">
        <v>1155</v>
      </c>
      <c r="E58" s="869"/>
      <c r="F58" s="1941">
        <f>'Expenditures 15-22'!G151</f>
        <v>0</v>
      </c>
      <c r="G58" s="866"/>
    </row>
    <row r="59" spans="1:7" x14ac:dyDescent="0.2">
      <c r="A59" s="894" t="s">
        <v>478</v>
      </c>
      <c r="B59" s="857" t="s">
        <v>1993</v>
      </c>
      <c r="C59" s="895" t="s">
        <v>1037</v>
      </c>
      <c r="D59" s="857" t="s">
        <v>307</v>
      </c>
      <c r="F59" s="1942">
        <f>'Expenditures 15-22'!I151</f>
        <v>0</v>
      </c>
      <c r="G59" s="866"/>
    </row>
    <row r="60" spans="1:7" x14ac:dyDescent="0.2">
      <c r="A60" s="894" t="s">
        <v>518</v>
      </c>
      <c r="B60" s="857" t="s">
        <v>1994</v>
      </c>
      <c r="C60" s="895">
        <v>4000</v>
      </c>
      <c r="D60" s="857" t="s">
        <v>328</v>
      </c>
      <c r="F60" s="1940">
        <f>'Expenditures 15-22'!K160</f>
        <v>0</v>
      </c>
      <c r="G60" s="866"/>
    </row>
    <row r="61" spans="1:7" x14ac:dyDescent="0.2">
      <c r="A61" s="896" t="s">
        <v>518</v>
      </c>
      <c r="B61" s="896" t="s">
        <v>1995</v>
      </c>
      <c r="C61" s="897" t="str">
        <f>'Expenditures 15-22'!B170</f>
        <v>5300</v>
      </c>
      <c r="D61" s="898" t="s">
        <v>327</v>
      </c>
      <c r="E61" s="880"/>
      <c r="F61" s="1939">
        <f>'Expenditures 15-22'!K170</f>
        <v>0</v>
      </c>
      <c r="G61" s="866"/>
    </row>
    <row r="62" spans="1:7" x14ac:dyDescent="0.2">
      <c r="A62" s="870" t="s">
        <v>479</v>
      </c>
      <c r="B62" s="870" t="s">
        <v>1996</v>
      </c>
      <c r="C62" s="887">
        <f>'Expenditures 15-22'!B185</f>
        <v>3000</v>
      </c>
      <c r="D62" s="877" t="s">
        <v>467</v>
      </c>
      <c r="E62" s="869"/>
      <c r="F62" s="1939">
        <f>'Expenditures 15-22'!K185-SUM('Expenditures 15-22'!G185,'Expenditures 15-22'!I185)</f>
        <v>0</v>
      </c>
      <c r="G62" s="866"/>
    </row>
    <row r="63" spans="1:7" x14ac:dyDescent="0.2">
      <c r="A63" s="870" t="s">
        <v>479</v>
      </c>
      <c r="B63" s="870" t="s">
        <v>1997</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1998</v>
      </c>
      <c r="C64" s="897" t="str">
        <f>'Expenditures 15-22'!B206</f>
        <v>5300</v>
      </c>
      <c r="D64" s="893" t="s">
        <v>327</v>
      </c>
      <c r="E64" s="869"/>
      <c r="F64" s="1939">
        <f>'Expenditures 15-22'!K206</f>
        <v>0</v>
      </c>
      <c r="G64" s="866"/>
    </row>
    <row r="65" spans="1:8" x14ac:dyDescent="0.2">
      <c r="A65" s="870" t="s">
        <v>479</v>
      </c>
      <c r="B65" s="870" t="s">
        <v>1999</v>
      </c>
      <c r="C65" s="887" t="s">
        <v>1037</v>
      </c>
      <c r="D65" s="886" t="s">
        <v>1155</v>
      </c>
      <c r="E65" s="869"/>
      <c r="F65" s="1939">
        <f>'Expenditures 15-22'!G210</f>
        <v>0</v>
      </c>
      <c r="G65" s="866"/>
    </row>
    <row r="66" spans="1:8" x14ac:dyDescent="0.2">
      <c r="A66" s="870" t="s">
        <v>479</v>
      </c>
      <c r="B66" s="870" t="s">
        <v>2000</v>
      </c>
      <c r="C66" s="887" t="s">
        <v>1037</v>
      </c>
      <c r="D66" s="886" t="s">
        <v>307</v>
      </c>
      <c r="E66" s="869"/>
      <c r="F66" s="1939">
        <f>'Expenditures 15-22'!I210</f>
        <v>0</v>
      </c>
      <c r="G66" s="866"/>
    </row>
    <row r="67" spans="1:8" x14ac:dyDescent="0.2">
      <c r="A67" s="870" t="s">
        <v>480</v>
      </c>
      <c r="B67" s="870" t="s">
        <v>2001</v>
      </c>
      <c r="C67" s="887" t="str">
        <f>'Expenditures 15-22'!B216</f>
        <v>1125</v>
      </c>
      <c r="D67" s="893" t="str">
        <f>'Expenditures 15-22'!A216</f>
        <v>Pre-K Programs</v>
      </c>
      <c r="E67" s="869"/>
      <c r="F67" s="1939">
        <f>'Expenditures 15-22'!K216</f>
        <v>0</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2003</v>
      </c>
      <c r="C70" s="887">
        <f>'Expenditures 15-22'!B221</f>
        <v>1300</v>
      </c>
      <c r="D70" s="888" t="str">
        <f>'Expenditures 15-22'!A221</f>
        <v>Adult/Continuing Education Programs</v>
      </c>
      <c r="E70" s="869"/>
      <c r="F70" s="1939">
        <f>'Expenditures 15-22'!K221</f>
        <v>0</v>
      </c>
      <c r="G70" s="866"/>
    </row>
    <row r="71" spans="1:8" x14ac:dyDescent="0.2">
      <c r="A71" s="870" t="s">
        <v>480</v>
      </c>
      <c r="B71" s="870" t="s">
        <v>2004</v>
      </c>
      <c r="C71" s="887">
        <f>'Expenditures 15-22'!B224</f>
        <v>1600</v>
      </c>
      <c r="D71" s="888" t="str">
        <f>'Expenditures 15-22'!A224</f>
        <v>Summer School Programs</v>
      </c>
      <c r="E71" s="869"/>
      <c r="F71" s="1939">
        <f>'Expenditures 15-22'!K224</f>
        <v>0</v>
      </c>
      <c r="G71" s="866"/>
    </row>
    <row r="72" spans="1:8" x14ac:dyDescent="0.2">
      <c r="A72" s="870" t="s">
        <v>480</v>
      </c>
      <c r="B72" s="870" t="s">
        <v>2005</v>
      </c>
      <c r="C72" s="887">
        <f>'Expenditures 15-22'!B280</f>
        <v>3000</v>
      </c>
      <c r="D72" s="877" t="s">
        <v>467</v>
      </c>
      <c r="E72" s="869"/>
      <c r="F72" s="1939">
        <f>'Expenditures 15-22'!K280</f>
        <v>0</v>
      </c>
      <c r="G72" s="866"/>
    </row>
    <row r="73" spans="1:8" x14ac:dyDescent="0.2">
      <c r="A73" s="870" t="s">
        <v>480</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2007</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1013</v>
      </c>
      <c r="F76" s="1800">
        <f>SUM(F18:F74)</f>
        <v>30041</v>
      </c>
      <c r="G76" s="866"/>
    </row>
    <row r="77" spans="1:8" s="894" customFormat="1" ht="12" customHeight="1" thickTop="1" thickBot="1" x14ac:dyDescent="0.25">
      <c r="A77" s="1801"/>
      <c r="B77" s="1798"/>
      <c r="C77" s="1794"/>
      <c r="D77" s="1799" t="s">
        <v>2009</v>
      </c>
      <c r="E77" s="1796"/>
      <c r="F77" s="1802">
        <f>(F14-F76)</f>
        <v>857040</v>
      </c>
      <c r="G77" s="870"/>
    </row>
    <row r="78" spans="1:8" s="894" customFormat="1" ht="12" customHeight="1" thickTop="1" x14ac:dyDescent="0.2">
      <c r="A78" s="1803"/>
      <c r="B78" s="1798"/>
      <c r="C78" s="1794"/>
      <c r="D78" s="1799" t="s">
        <v>2055</v>
      </c>
      <c r="E78" s="1796"/>
      <c r="F78" s="899">
        <v>0</v>
      </c>
      <c r="G78" s="900"/>
      <c r="H78" s="870"/>
    </row>
    <row r="79" spans="1:8" s="894" customFormat="1" ht="12" customHeight="1" thickBot="1" x14ac:dyDescent="0.25">
      <c r="A79" s="1804"/>
      <c r="B79" s="1798"/>
      <c r="C79" s="1794"/>
      <c r="D79" s="1799" t="s">
        <v>2010</v>
      </c>
      <c r="E79" s="1796" t="s">
        <v>1013</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1165</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477</v>
      </c>
      <c r="B96" s="909" t="s">
        <v>178</v>
      </c>
      <c r="C96" s="911">
        <f>'Revenues 9-14'!B84</f>
        <v>1811</v>
      </c>
      <c r="D96" s="912" t="str">
        <f>'Revenues 9-14'!A84</f>
        <v>Rentals - Regular Textbooks</v>
      </c>
      <c r="E96" s="907"/>
      <c r="F96" s="1811">
        <f>'Revenues 9-14'!C84</f>
        <v>0</v>
      </c>
      <c r="G96" s="913"/>
    </row>
    <row r="97" spans="1:7" x14ac:dyDescent="0.2">
      <c r="A97" s="909" t="s">
        <v>477</v>
      </c>
      <c r="B97" s="909" t="s">
        <v>179</v>
      </c>
      <c r="C97" s="911">
        <f>'Revenues 9-14'!B87</f>
        <v>1819</v>
      </c>
      <c r="D97" s="912" t="str">
        <f>'Revenues 9-14'!A87</f>
        <v>Rentals - Other (Describe &amp; Itemize)</v>
      </c>
      <c r="E97" s="907"/>
      <c r="F97" s="1811">
        <f>'Revenues 9-14'!C87</f>
        <v>0</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0</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0</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0</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0</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0</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1">
        <f>SUM('Revenues 9-14'!C201,'Revenues 9-14'!G201)</f>
        <v>0</v>
      </c>
      <c r="G129" s="931"/>
    </row>
    <row r="130" spans="1:7" x14ac:dyDescent="0.2">
      <c r="A130" s="928" t="s">
        <v>687</v>
      </c>
      <c r="B130" s="928" t="s">
        <v>802</v>
      </c>
      <c r="C130" s="933">
        <v>4300</v>
      </c>
      <c r="D130" s="934" t="str">
        <f>'Revenues 9-14'!A211</f>
        <v>Total Title I</v>
      </c>
      <c r="E130" s="907"/>
      <c r="F130" s="1811">
        <f>SUM('Revenues 9-14'!C211,'Revenues 9-14'!D211,'Revenues 9-14'!F211,'Revenues 9-14'!G211)</f>
        <v>0</v>
      </c>
      <c r="G130" s="931"/>
    </row>
    <row r="131" spans="1:7" x14ac:dyDescent="0.2">
      <c r="A131" s="928" t="s">
        <v>687</v>
      </c>
      <c r="B131" s="928" t="s">
        <v>803</v>
      </c>
      <c r="C131" s="933">
        <v>4400</v>
      </c>
      <c r="D131" s="934" t="str">
        <f>'Revenues 9-14'!A216</f>
        <v>Total Title IV</v>
      </c>
      <c r="E131" s="907"/>
      <c r="F131" s="1811">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683</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1013</v>
      </c>
      <c r="F178" s="1810">
        <f>SUM(F84:F136,F161:F176)</f>
        <v>0</v>
      </c>
    </row>
    <row r="179" spans="1:7" ht="12" customHeight="1" x14ac:dyDescent="0.2">
      <c r="A179" s="1792"/>
      <c r="B179" s="1806"/>
      <c r="C179" s="1807"/>
      <c r="D179" s="1808" t="s">
        <v>2012</v>
      </c>
      <c r="E179" s="1809"/>
      <c r="F179" s="1811">
        <f>'PCTC-OEPP 27-28'!F77-F178</f>
        <v>857040</v>
      </c>
    </row>
    <row r="180" spans="1:7" ht="12" customHeight="1" x14ac:dyDescent="0.2">
      <c r="A180" s="1792"/>
      <c r="B180" s="1806"/>
      <c r="C180" s="1807"/>
      <c r="D180" s="1808" t="s">
        <v>1922</v>
      </c>
      <c r="E180" s="1809"/>
      <c r="F180" s="1811">
        <f>'Cap Outlay Deprec 26'!I18</f>
        <v>36220</v>
      </c>
    </row>
    <row r="181" spans="1:7" ht="12" customHeight="1" x14ac:dyDescent="0.2">
      <c r="A181" s="1792"/>
      <c r="B181" s="1806"/>
      <c r="C181" s="1807"/>
      <c r="D181" s="1808" t="s">
        <v>2013</v>
      </c>
      <c r="E181" s="1809"/>
      <c r="F181" s="1811">
        <f>F179+F180</f>
        <v>893260</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2014</v>
      </c>
      <c r="E183" s="1809" t="s">
        <v>1624</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F18" sqref="F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42578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95" customHeight="1" x14ac:dyDescent="0.25">
      <c r="A4" s="2289" t="s">
        <v>1923</v>
      </c>
      <c r="B4" s="2290"/>
      <c r="C4" s="2290"/>
      <c r="D4" s="2290"/>
      <c r="E4" s="2290"/>
      <c r="F4" s="2290"/>
      <c r="G4" s="2291"/>
    </row>
    <row r="5" spans="1:7" x14ac:dyDescent="0.25">
      <c r="A5" s="2292"/>
      <c r="B5" s="2293"/>
      <c r="C5" s="2293"/>
      <c r="D5" s="2293"/>
      <c r="E5" s="2293"/>
      <c r="F5" s="2293"/>
      <c r="G5" s="2294"/>
    </row>
    <row r="6" spans="1:7" ht="18.75" x14ac:dyDescent="0.25">
      <c r="A6" s="1556" t="s">
        <v>1924</v>
      </c>
      <c r="B6" s="1557"/>
      <c r="C6" s="1557"/>
      <c r="D6" s="1557"/>
      <c r="E6" s="1557"/>
      <c r="F6" s="1557"/>
      <c r="G6" s="1558"/>
    </row>
    <row r="7" spans="1:7" ht="30.75" customHeight="1" x14ac:dyDescent="0.25">
      <c r="A7" s="2295" t="s">
        <v>2071</v>
      </c>
      <c r="B7" s="2296"/>
      <c r="C7" s="2296"/>
      <c r="D7" s="2296"/>
      <c r="E7" s="2296"/>
      <c r="F7" s="2296"/>
      <c r="G7" s="2297"/>
    </row>
    <row r="8" spans="1:7" ht="15.75" customHeight="1" x14ac:dyDescent="0.25">
      <c r="A8" s="2298" t="s">
        <v>2020</v>
      </c>
      <c r="B8" s="2299"/>
      <c r="C8" s="2299"/>
      <c r="D8" s="2299"/>
      <c r="E8" s="2299"/>
      <c r="F8" s="2299"/>
      <c r="G8" s="2300"/>
    </row>
    <row r="9" spans="1:7" ht="35.25" customHeight="1" x14ac:dyDescent="0.25">
      <c r="A9" s="2295" t="s">
        <v>2074</v>
      </c>
      <c r="B9" s="2296"/>
      <c r="C9" s="2296"/>
      <c r="D9" s="2296"/>
      <c r="E9" s="2296"/>
      <c r="F9" s="2296"/>
      <c r="G9" s="2297"/>
    </row>
    <row r="10" spans="1:7" ht="15" customHeight="1" x14ac:dyDescent="0.25">
      <c r="A10" s="1559" t="s">
        <v>1925</v>
      </c>
      <c r="B10" s="1560"/>
      <c r="C10" s="1560"/>
      <c r="D10" s="1560"/>
      <c r="E10" s="1560"/>
      <c r="F10" s="1560"/>
      <c r="G10" s="1561"/>
    </row>
    <row r="11" spans="1:7" ht="17.25" customHeight="1" x14ac:dyDescent="0.25">
      <c r="A11" s="2295" t="s">
        <v>2073</v>
      </c>
      <c r="B11" s="2296"/>
      <c r="C11" s="2296"/>
      <c r="D11" s="2296"/>
      <c r="E11" s="2296"/>
      <c r="F11" s="2296"/>
      <c r="G11" s="2297"/>
    </row>
    <row r="12" spans="1:7" ht="15" customHeight="1" x14ac:dyDescent="0.25">
      <c r="A12" s="1559" t="s">
        <v>1930</v>
      </c>
      <c r="B12" s="1560"/>
      <c r="C12" s="1560"/>
      <c r="D12" s="1560"/>
      <c r="E12" s="1560"/>
      <c r="F12" s="1560"/>
      <c r="G12" s="1561"/>
    </row>
    <row r="13" spans="1:7" ht="32.25" customHeight="1" x14ac:dyDescent="0.25">
      <c r="A13" s="2286" t="s">
        <v>1931</v>
      </c>
      <c r="B13" s="2287"/>
      <c r="C13" s="2287"/>
      <c r="D13" s="2287"/>
      <c r="E13" s="2287"/>
      <c r="F13" s="2287"/>
      <c r="G13" s="2288"/>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42578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1" t="s">
        <v>1776</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c r="F10" s="975"/>
      <c r="G10" s="976"/>
      <c r="H10" s="162"/>
      <c r="I10" s="162"/>
    </row>
    <row r="11" spans="1:9" s="669" customFormat="1" ht="22.7" customHeight="1" x14ac:dyDescent="0.2">
      <c r="A11" s="2306" t="s">
        <v>1942</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519229</v>
      </c>
      <c r="F19" s="1822"/>
      <c r="G19" s="1824">
        <f>'Expenditures 15-22'!K33-SUM('Expenditures 15-22'!G33,'Expenditures 15-22'!I33)+'Expenditures 15-22'!D229</f>
        <v>519229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583</v>
      </c>
      <c r="B22" s="996"/>
      <c r="C22" s="994">
        <v>2200</v>
      </c>
      <c r="D22" s="1825"/>
      <c r="E22" s="1827">
        <f>'Expenditures 15-22'!K47-SUM('Expenditures 15-22'!G47,'Expenditures 15-22'!I47)+'Expenditures 15-22'!D243</f>
        <v>40505</v>
      </c>
      <c r="F22" s="1825"/>
      <c r="G22" s="1828">
        <f>'Expenditures 15-22'!K47-SUM('Expenditures 15-22'!G47,'Expenditures 15-22'!I47)+'Expenditures 15-22'!D243</f>
        <v>40505</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9210</v>
      </c>
      <c r="F23" s="1825"/>
      <c r="G23" s="1827">
        <f>'Expenditures 15-22'!K53-SUM('Expenditures 15-22'!G53,'Expenditures 15-22'!I53)+'Expenditures 15-22'!D257+'Expenditures 15-22'!K330-SUM('Expenditures 15-22'!G330,'Expenditures 15-22'!I330)</f>
        <v>9210</v>
      </c>
      <c r="H23" s="988"/>
      <c r="I23" s="162"/>
    </row>
    <row r="24" spans="1:9" s="669" customFormat="1" ht="12" customHeight="1" x14ac:dyDescent="0.2">
      <c r="A24" s="995" t="s">
        <v>585</v>
      </c>
      <c r="B24" s="996"/>
      <c r="C24" s="994">
        <v>2400</v>
      </c>
      <c r="D24" s="1825"/>
      <c r="E24" s="1827">
        <f>'Expenditures 15-22'!K57-SUM('Expenditures 15-22'!G57,'Expenditures 15-22'!I57)+'Expenditures 15-22'!D261</f>
        <v>180592</v>
      </c>
      <c r="F24" s="1825"/>
      <c r="G24" s="1828">
        <f>'Expenditures 15-22'!K57-SUM('Expenditures 15-22'!G57,'Expenditures 15-22'!I57)+'Expenditures 15-22'!D261</f>
        <v>180592</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-500</v>
      </c>
      <c r="E27" s="1827">
        <f>E8</f>
        <v>0</v>
      </c>
      <c r="F27" s="1827">
        <f>'Expenditures 15-22'!K60-SUM('Expenditures 15-22'!G60,'Expenditures 15-22'!I60)+'Expenditures 15-22'!D264-E8</f>
        <v>-500</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80949</v>
      </c>
      <c r="F28" s="1829">
        <f>'Expenditures 15-22'!K61-SUM('Expenditures 15-22'!G61,'Expenditures 15-22'!I61)+'Expenditures 15-22'!K124-SUM('Expenditures 15-22'!G124,'Expenditures 15-22'!I124)+'Expenditures 15-22'!D266-E9</f>
        <v>80949</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27055</v>
      </c>
      <c r="F29" s="1825"/>
      <c r="G29" s="1828">
        <f>'Expenditures 15-22'!K62-SUM('Expenditures 15-22'!G62,'Expenditures 15-22'!I62)+'Expenditures 15-22'!K125-SUM('Expenditures 15-22'!G125,'Expenditures 15-22'!I125)+'Expenditures 15-22'!K182-SUM('Expenditures 15-22'!G182,'Expenditures 15-22'!I182)+'Expenditures 15-22'!D267</f>
        <v>27055</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-500</v>
      </c>
      <c r="E41" s="1829">
        <f>SUM(E19:E40)</f>
        <v>857540</v>
      </c>
      <c r="F41" s="1829">
        <f>SUM(F19:F39)</f>
        <v>80449</v>
      </c>
      <c r="G41" s="1829">
        <f>SUM(G19:G40)</f>
        <v>776591</v>
      </c>
    </row>
    <row r="42" spans="1:7" x14ac:dyDescent="0.2">
      <c r="A42" s="988"/>
      <c r="B42" s="162"/>
      <c r="C42" s="1002"/>
      <c r="D42" s="2304" t="s">
        <v>541</v>
      </c>
      <c r="E42" s="2305"/>
      <c r="F42" s="1003" t="s">
        <v>542</v>
      </c>
      <c r="G42" s="1004"/>
    </row>
    <row r="43" spans="1:7" ht="12" customHeight="1" x14ac:dyDescent="0.2">
      <c r="A43" s="988"/>
      <c r="B43" s="162"/>
      <c r="C43" s="1002"/>
      <c r="D43" s="1830" t="s">
        <v>491</v>
      </c>
      <c r="E43" s="1831">
        <f>D41</f>
        <v>-500</v>
      </c>
      <c r="F43" s="1830" t="s">
        <v>493</v>
      </c>
      <c r="G43" s="1831">
        <f>F41</f>
        <v>80449</v>
      </c>
    </row>
    <row r="44" spans="1:7" ht="12" customHeight="1" x14ac:dyDescent="0.2">
      <c r="A44" s="988"/>
      <c r="B44" s="162"/>
      <c r="C44" s="1002"/>
      <c r="D44" s="1830" t="s">
        <v>492</v>
      </c>
      <c r="E44" s="1831">
        <f>E41</f>
        <v>857540</v>
      </c>
      <c r="F44" s="1830" t="s">
        <v>492</v>
      </c>
      <c r="G44" s="1831">
        <f>G41</f>
        <v>776591</v>
      </c>
    </row>
    <row r="45" spans="1:7" ht="12" customHeight="1" x14ac:dyDescent="0.2">
      <c r="A45" s="988"/>
      <c r="B45" s="162"/>
      <c r="C45" s="162"/>
      <c r="D45" s="1832" t="s">
        <v>1061</v>
      </c>
      <c r="E45" s="1833">
        <f>(E43/E44)</f>
        <v>-5.8306318072626347E-4</v>
      </c>
      <c r="F45" s="1832" t="s">
        <v>1061</v>
      </c>
      <c r="G45" s="1833">
        <f>(G43/G44)</f>
        <v>0.10359249592127645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42578125" style="1901" customWidth="1"/>
    <col min="2" max="2" width="4.140625" style="1901" customWidth="1"/>
    <col min="3" max="4" width="9.85546875" style="1872" customWidth="1"/>
    <col min="5" max="5" width="12.42578125" style="1902" customWidth="1"/>
    <col min="6" max="6" width="67.42578125" style="1872" customWidth="1"/>
    <col min="7" max="7" width="9.140625" style="1872" customWidth="1"/>
    <col min="8" max="8" width="5.42578125" style="1903" bestFit="1" customWidth="1"/>
    <col min="9" max="10" width="2" style="1903" bestFit="1" customWidth="1"/>
    <col min="11" max="11" width="9" style="1903" customWidth="1"/>
    <col min="12" max="16384" width="9.140625" style="1872"/>
  </cols>
  <sheetData>
    <row r="1" spans="1:10" x14ac:dyDescent="0.2">
      <c r="A1" s="2312" t="s">
        <v>1444</v>
      </c>
      <c r="B1" s="2312"/>
      <c r="C1" s="2312"/>
      <c r="D1" s="2312"/>
      <c r="E1" s="2312"/>
      <c r="F1" s="2312"/>
    </row>
    <row r="2" spans="1:10" x14ac:dyDescent="0.2">
      <c r="A2" s="1912" t="s">
        <v>2044</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13" t="s">
        <v>1625</v>
      </c>
      <c r="B5" s="2314"/>
      <c r="C5" s="2315"/>
      <c r="D5" s="2315"/>
      <c r="E5" s="2315"/>
      <c r="F5" s="2315"/>
    </row>
    <row r="6" spans="1:10" ht="12" customHeight="1" x14ac:dyDescent="0.25">
      <c r="A6" s="1875"/>
      <c r="B6" s="1876"/>
      <c r="C6" s="2316" t="str">
        <f>COVER!A17</f>
        <v>Collinsville Area Vocational Center</v>
      </c>
      <c r="D6" s="2316"/>
      <c r="E6" s="2316"/>
      <c r="F6" s="1877"/>
    </row>
    <row r="7" spans="1:10" ht="11.25" customHeight="1" thickBot="1" x14ac:dyDescent="0.3">
      <c r="A7" s="1875"/>
      <c r="B7" s="1876"/>
      <c r="C7" s="2317">
        <f>COVER!A13</f>
        <v>41057010041</v>
      </c>
      <c r="D7" s="2317"/>
      <c r="E7" s="2317"/>
      <c r="F7" s="1877"/>
    </row>
    <row r="8" spans="1:10" ht="25.5" customHeight="1" thickBot="1" x14ac:dyDescent="0.25">
      <c r="A8" s="1918" t="s">
        <v>2021</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9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t="s">
        <v>2075</v>
      </c>
      <c r="D14" s="1890" t="s">
        <v>2075</v>
      </c>
      <c r="E14" s="1893"/>
      <c r="F14" s="1892" t="s">
        <v>2093</v>
      </c>
      <c r="H14" s="1903">
        <f t="shared" si="0"/>
        <v>5</v>
      </c>
      <c r="I14" s="1903">
        <f t="shared" si="1"/>
        <v>5</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t="s">
        <v>2075</v>
      </c>
      <c r="D19" s="1890" t="s">
        <v>2075</v>
      </c>
      <c r="E19" s="1893"/>
      <c r="F19" s="1892" t="s">
        <v>2093</v>
      </c>
      <c r="H19" s="1903">
        <f t="shared" si="0"/>
        <v>5</v>
      </c>
      <c r="I19" s="1903">
        <f t="shared" si="1"/>
        <v>5</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c r="D26" s="1890"/>
      <c r="E26" s="1893"/>
      <c r="F26" s="1892"/>
      <c r="H26" s="1903">
        <f t="shared" si="0"/>
        <v>0</v>
      </c>
      <c r="I26" s="1903">
        <f t="shared" si="1"/>
        <v>0</v>
      </c>
      <c r="J26" s="1903">
        <f t="shared" si="2"/>
        <v>0</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1457</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7" hidden="1" customHeight="1" x14ac:dyDescent="0.2">
      <c r="A39" s="1898"/>
      <c r="B39" s="1898"/>
      <c r="C39" s="1898"/>
      <c r="D39" s="1898"/>
      <c r="E39" s="1898"/>
      <c r="F39" s="1898"/>
    </row>
    <row r="40" spans="1:11" s="1895" customFormat="1" ht="12" customHeight="1" x14ac:dyDescent="0.25">
      <c r="A40" s="1899" t="s">
        <v>1456</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9499999999999993" customHeight="1" x14ac:dyDescent="0.25">
      <c r="H46" s="1904"/>
      <c r="I46" s="1904"/>
      <c r="J46" s="1904"/>
      <c r="K46" s="1904"/>
    </row>
    <row r="47" spans="1:11" s="1895" customFormat="1" ht="13.7"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4"/>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42578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36" t="str">
        <f>COVER!A17</f>
        <v>Collinsville Area Vocational Center</v>
      </c>
      <c r="J6" s="2337"/>
      <c r="Q6" s="1686"/>
    </row>
    <row r="7" spans="1:17" x14ac:dyDescent="0.2">
      <c r="A7" s="2338" t="s">
        <v>922</v>
      </c>
      <c r="B7" s="2339"/>
      <c r="C7" s="2339"/>
      <c r="D7" s="2339"/>
      <c r="E7" s="2340"/>
      <c r="F7" s="1018"/>
      <c r="G7" s="1010"/>
      <c r="H7" s="1017" t="s">
        <v>388</v>
      </c>
      <c r="I7" s="2341">
        <f>COVER!A13</f>
        <v>41057010041</v>
      </c>
      <c r="J7" s="2341"/>
    </row>
    <row r="8" spans="1:17" ht="8.25" customHeight="1" x14ac:dyDescent="0.2">
      <c r="A8" s="1666"/>
      <c r="B8" s="1667"/>
      <c r="C8" s="1667"/>
      <c r="D8" s="1667"/>
      <c r="E8" s="1668"/>
      <c r="F8" s="1019"/>
      <c r="G8" s="1020"/>
      <c r="H8" s="1020"/>
      <c r="I8" s="1020"/>
      <c r="J8" s="1020"/>
    </row>
    <row r="9" spans="1:17" ht="13.7" customHeight="1" x14ac:dyDescent="0.2">
      <c r="A9" s="1021"/>
      <c r="B9" s="1022"/>
      <c r="C9" s="1022"/>
      <c r="D9" s="1023"/>
      <c r="E9" s="1920" t="s">
        <v>1699</v>
      </c>
      <c r="F9" s="1024"/>
      <c r="G9" s="1024"/>
      <c r="H9" s="1921" t="s">
        <v>1700</v>
      </c>
      <c r="I9" s="1024"/>
      <c r="J9" s="1025"/>
    </row>
    <row r="10" spans="1:17" s="1033" customFormat="1" ht="13.7"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2" t="s">
        <v>500</v>
      </c>
      <c r="B11" s="2343"/>
      <c r="C11" s="2344"/>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7"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0</v>
      </c>
      <c r="F19" s="1836">
        <f t="shared" si="2"/>
        <v>0</v>
      </c>
      <c r="G19" s="1836">
        <f t="shared" si="2"/>
        <v>0</v>
      </c>
      <c r="H19" s="1836">
        <f t="shared" si="2"/>
        <v>0</v>
      </c>
      <c r="I19" s="1836">
        <f t="shared" si="2"/>
        <v>0</v>
      </c>
      <c r="J19" s="1836">
        <f t="shared" si="2"/>
        <v>0</v>
      </c>
    </row>
    <row r="20" spans="1:10" ht="13.5" thickTop="1" x14ac:dyDescent="0.2">
      <c r="A20" s="1036">
        <v>9</v>
      </c>
      <c r="B20" s="2348" t="s">
        <v>1701</v>
      </c>
      <c r="C20" s="2348"/>
      <c r="D20" s="2349"/>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1091</v>
      </c>
      <c r="D27" s="1053"/>
      <c r="E27" s="1054"/>
      <c r="F27" s="2350" t="s">
        <v>1587</v>
      </c>
      <c r="G27" s="2350"/>
    </row>
    <row r="28" spans="1:10" ht="28.5" customHeight="1" x14ac:dyDescent="0.2">
      <c r="B28" s="1048"/>
      <c r="C28" s="2352"/>
      <c r="D28" s="2352"/>
      <c r="E28" s="1055"/>
      <c r="F28" s="2352"/>
      <c r="G28" s="2352"/>
    </row>
    <row r="29" spans="1:10" x14ac:dyDescent="0.2">
      <c r="B29" s="1048"/>
      <c r="C29" s="1056" t="s">
        <v>1640</v>
      </c>
      <c r="E29" s="1057"/>
      <c r="F29" s="2351" t="s">
        <v>1588</v>
      </c>
      <c r="G29" s="2351"/>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7" customHeight="1" x14ac:dyDescent="0.2">
      <c r="B36" s="1062"/>
      <c r="C36" s="2335" t="s">
        <v>1941</v>
      </c>
      <c r="D36" s="2334"/>
      <c r="E36" s="2334"/>
      <c r="F36" s="2334"/>
      <c r="G36" s="2334"/>
      <c r="H36" s="2334"/>
      <c r="I36" s="2334"/>
      <c r="J36" s="1064"/>
    </row>
    <row r="37" spans="1:10" ht="22.7"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7" customHeight="1" x14ac:dyDescent="0.2">
      <c r="B39" s="1062"/>
      <c r="C39" s="2331" t="s">
        <v>935</v>
      </c>
      <c r="D39" s="2332"/>
      <c r="E39" s="2332"/>
      <c r="F39" s="2332"/>
      <c r="G39" s="2332"/>
      <c r="H39" s="2332"/>
      <c r="I39" s="2332"/>
    </row>
    <row r="40" spans="1:10" ht="1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E65"/>
  <sheetViews>
    <sheetView showGridLines="0" zoomScale="110" zoomScaleNormal="110" workbookViewId="0">
      <selection activeCell="A8" sqref="A8"/>
    </sheetView>
  </sheetViews>
  <sheetFormatPr defaultColWidth="9.140625" defaultRowHeight="12.75" x14ac:dyDescent="0.2"/>
  <cols>
    <col min="1" max="1" width="3" style="329" customWidth="1"/>
    <col min="2" max="2" width="45.42578125" style="329" customWidth="1"/>
    <col min="3" max="3" width="10.42578125" style="329" customWidth="1"/>
    <col min="4" max="4" width="2.28515625" style="329" customWidth="1"/>
    <col min="5" max="5" width="10.42578125" style="329" customWidth="1"/>
    <col min="6" max="16384" width="9.140625" style="329"/>
  </cols>
  <sheetData>
    <row r="2" spans="1:5" x14ac:dyDescent="0.2">
      <c r="A2" s="389"/>
    </row>
    <row r="3" spans="1:5" x14ac:dyDescent="0.2">
      <c r="A3" s="389" t="s">
        <v>2094</v>
      </c>
    </row>
    <row r="4" spans="1:5" x14ac:dyDescent="0.2">
      <c r="C4" s="1957" t="s">
        <v>2098</v>
      </c>
      <c r="D4" s="1958"/>
      <c r="E4" s="1957" t="s">
        <v>2099</v>
      </c>
    </row>
    <row r="5" spans="1:5" x14ac:dyDescent="0.2">
      <c r="A5" s="1070" t="s">
        <v>2095</v>
      </c>
    </row>
    <row r="6" spans="1:5" x14ac:dyDescent="0.2">
      <c r="A6" s="1070" t="s">
        <v>2100</v>
      </c>
      <c r="C6" s="1959">
        <v>22781</v>
      </c>
      <c r="D6" s="1959"/>
      <c r="E6" s="1959">
        <v>20038</v>
      </c>
    </row>
    <row r="7" spans="1:5" x14ac:dyDescent="0.2">
      <c r="A7" s="1069" t="s">
        <v>2101</v>
      </c>
    </row>
    <row r="8" spans="1:5" x14ac:dyDescent="0.2">
      <c r="A8" s="1069"/>
    </row>
    <row r="9" spans="1:5" x14ac:dyDescent="0.2">
      <c r="A9" s="1070"/>
    </row>
    <row r="10" spans="1:5" x14ac:dyDescent="0.2">
      <c r="A10" s="1070"/>
    </row>
    <row r="11" spans="1:5" x14ac:dyDescent="0.2">
      <c r="A11" s="1070"/>
    </row>
    <row r="12" spans="1:5" x14ac:dyDescent="0.2">
      <c r="A12" s="1070"/>
    </row>
    <row r="13" spans="1:5" x14ac:dyDescent="0.2">
      <c r="A13" s="1070"/>
    </row>
    <row r="14" spans="1:5" x14ac:dyDescent="0.2">
      <c r="A14" s="1070"/>
    </row>
    <row r="15" spans="1:5" x14ac:dyDescent="0.2">
      <c r="A15" s="1070"/>
    </row>
    <row r="16" spans="1:5"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Collinsville Area Vocational Center</v>
      </c>
    </row>
    <row r="65" spans="2:2" x14ac:dyDescent="0.2">
      <c r="B65" s="1071">
        <f>COVER!A13</f>
        <v>41057010041</v>
      </c>
    </row>
  </sheetData>
  <phoneticPr fontId="12" type="noConversion"/>
  <pageMargins left="0.75" right="0.2" top="1.17" bottom="0.75" header="0.5"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7" customHeight="1" x14ac:dyDescent="0.2">
      <c r="B5" s="18" t="s">
        <v>996</v>
      </c>
      <c r="C5" s="16" t="s">
        <v>948</v>
      </c>
    </row>
    <row r="6" spans="1:4" ht="13.7" customHeight="1" x14ac:dyDescent="0.2">
      <c r="A6" s="23"/>
      <c r="B6" s="25" t="s">
        <v>997</v>
      </c>
      <c r="C6" s="65" t="s">
        <v>1479</v>
      </c>
      <c r="D6" s="24"/>
    </row>
    <row r="7" spans="1:4" ht="13.7" customHeight="1" x14ac:dyDescent="0.2">
      <c r="A7" s="23"/>
      <c r="B7" s="25"/>
      <c r="C7" s="65" t="s">
        <v>1480</v>
      </c>
      <c r="D7" s="24"/>
    </row>
    <row r="8" spans="1:4" ht="13.7" customHeight="1" x14ac:dyDescent="0.2">
      <c r="A8" s="23"/>
      <c r="B8" s="146" t="s">
        <v>998</v>
      </c>
      <c r="C8" s="65" t="s">
        <v>1465</v>
      </c>
      <c r="D8" s="24"/>
    </row>
    <row r="9" spans="1:4" ht="13.7" customHeight="1" x14ac:dyDescent="0.2">
      <c r="A9" s="14"/>
      <c r="B9" s="144" t="s">
        <v>999</v>
      </c>
      <c r="C9" s="142" t="s">
        <v>1384</v>
      </c>
    </row>
    <row r="10" spans="1:4" ht="13.7"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55" t="s">
        <v>1782</v>
      </c>
      <c r="B18" s="235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1000125</xdr:colOff>
                <xdr:row>3</xdr:row>
                <xdr:rowOff>104775</xdr:rowOff>
              </from>
              <to>
                <xdr:col>1</xdr:col>
                <xdr:colOff>1905000</xdr:colOff>
                <xdr:row>8</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1788</v>
      </c>
      <c r="B1" s="2357"/>
      <c r="C1" s="2357"/>
      <c r="D1" s="2357"/>
      <c r="E1" s="2357"/>
      <c r="F1" s="2358"/>
    </row>
    <row r="2" spans="1:8" ht="45" customHeight="1" x14ac:dyDescent="0.2">
      <c r="A2" s="2366" t="s">
        <v>1789</v>
      </c>
      <c r="B2" s="2367"/>
      <c r="C2" s="2367"/>
      <c r="D2" s="2367"/>
      <c r="E2" s="2367"/>
      <c r="F2" s="2368"/>
      <c r="G2" s="1075"/>
      <c r="H2" s="1075"/>
    </row>
    <row r="3" spans="1:8" ht="57" customHeight="1" x14ac:dyDescent="0.2">
      <c r="A3" s="2369" t="s">
        <v>1784</v>
      </c>
      <c r="B3" s="2370"/>
      <c r="C3" s="2370"/>
      <c r="D3" s="2370"/>
      <c r="E3" s="2370"/>
      <c r="F3" s="2371"/>
      <c r="G3" s="1075"/>
      <c r="H3" s="1075"/>
    </row>
    <row r="4" spans="1:8" ht="14.25" customHeight="1" x14ac:dyDescent="0.2">
      <c r="A4" s="2375" t="s">
        <v>2052</v>
      </c>
      <c r="B4" s="2376"/>
      <c r="C4" s="2376"/>
      <c r="D4" s="2376"/>
      <c r="E4" s="2376"/>
      <c r="F4" s="2377"/>
      <c r="G4" s="1075"/>
      <c r="H4" s="1075"/>
    </row>
    <row r="5" spans="1:8" ht="14.25" customHeight="1" x14ac:dyDescent="0.2">
      <c r="A5" s="2378" t="s">
        <v>2053</v>
      </c>
      <c r="B5" s="2379"/>
      <c r="C5" s="2379"/>
      <c r="D5" s="2379"/>
      <c r="E5" s="2379"/>
      <c r="F5" s="2380"/>
      <c r="G5" s="1075"/>
      <c r="H5" s="1075"/>
    </row>
    <row r="6" spans="1:8" s="1076" customFormat="1" ht="41.25" customHeight="1" x14ac:dyDescent="0.2">
      <c r="A6" s="2372" t="s">
        <v>1790</v>
      </c>
      <c r="B6" s="2373"/>
      <c r="C6" s="2373"/>
      <c r="D6" s="2373"/>
      <c r="E6" s="2373"/>
      <c r="F6" s="2374"/>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915681</v>
      </c>
      <c r="C8" s="1838">
        <f>'Acct Summary 7-8'!D8</f>
        <v>22781</v>
      </c>
      <c r="D8" s="1838">
        <f>'Acct Summary 7-8'!F8</f>
        <v>20038</v>
      </c>
      <c r="E8" s="1838">
        <f>'Acct Summary 7-8'!I8</f>
        <v>0</v>
      </c>
      <c r="F8" s="1838">
        <f>SUM(B8:E8)</f>
        <v>958500</v>
      </c>
    </row>
    <row r="9" spans="1:8" s="1080" customFormat="1" ht="14.25" customHeight="1" thickBot="1" x14ac:dyDescent="0.25">
      <c r="A9" s="1079" t="s">
        <v>1434</v>
      </c>
      <c r="B9" s="1839">
        <f>'Acct Summary 7-8'!C17</f>
        <v>840933</v>
      </c>
      <c r="C9" s="1839">
        <f>'Acct Summary 7-8'!D17</f>
        <v>19093</v>
      </c>
      <c r="D9" s="1839">
        <f>'Acct Summary 7-8'!F17</f>
        <v>27055</v>
      </c>
      <c r="E9" s="1838"/>
      <c r="F9" s="1838">
        <f>SUM(B9:E9)</f>
        <v>887081</v>
      </c>
    </row>
    <row r="10" spans="1:8" s="1080" customFormat="1" ht="14.25" thickTop="1" thickBot="1" x14ac:dyDescent="0.25">
      <c r="A10" s="1081" t="s">
        <v>1435</v>
      </c>
      <c r="B10" s="1840">
        <f>(B8-B9)</f>
        <v>74748</v>
      </c>
      <c r="C10" s="1840">
        <f>(C8-C9)</f>
        <v>3688</v>
      </c>
      <c r="D10" s="1840">
        <f>(D8-D9)</f>
        <v>-7017</v>
      </c>
      <c r="E10" s="1839">
        <f>(E8-E9)</f>
        <v>0</v>
      </c>
      <c r="F10" s="1841">
        <f>SUM(F8-F9)</f>
        <v>71419</v>
      </c>
    </row>
    <row r="11" spans="1:8" s="1080" customFormat="1" ht="14.25" thickTop="1" thickBot="1" x14ac:dyDescent="0.25">
      <c r="A11" s="1082" t="s">
        <v>1783</v>
      </c>
      <c r="B11" s="1842">
        <f>'Acct Summary 7-8'!C81</f>
        <v>398701</v>
      </c>
      <c r="C11" s="1842">
        <f>'Acct Summary 7-8'!D81</f>
        <v>0</v>
      </c>
      <c r="D11" s="1842">
        <f>'Acct Summary 7-8'!F81</f>
        <v>0</v>
      </c>
      <c r="E11" s="1842">
        <f>'Acct Summary 7-8'!I81</f>
        <v>0</v>
      </c>
      <c r="F11" s="1843">
        <f>SUM(B11:E11)</f>
        <v>398701</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1785</v>
      </c>
      <c r="B16" s="2359"/>
      <c r="C16" s="2359"/>
      <c r="D16" s="2359"/>
      <c r="E16" s="2359"/>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7" customHeight="1" thickBot="1" x14ac:dyDescent="0.25">
      <c r="A1" s="1089"/>
      <c r="B1" s="1090"/>
      <c r="C1" s="1091"/>
      <c r="D1" s="1092"/>
    </row>
    <row r="2" spans="1:4" ht="7.5" customHeight="1" thickTop="1" x14ac:dyDescent="0.2">
      <c r="A2" s="1922"/>
      <c r="B2" s="1923"/>
      <c r="C2" s="1924"/>
      <c r="D2" s="1925"/>
    </row>
    <row r="3" spans="1:4" ht="36" customHeight="1" x14ac:dyDescent="0.2">
      <c r="A3" s="2381" t="s">
        <v>684</v>
      </c>
      <c r="B3" s="2382"/>
      <c r="C3" s="2382"/>
      <c r="D3" s="2383"/>
    </row>
    <row r="4" spans="1:4" x14ac:dyDescent="0.2">
      <c r="A4" s="1153" t="s">
        <v>1791</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392" t="s">
        <v>1582</v>
      </c>
      <c r="D7" s="2393"/>
    </row>
    <row r="8" spans="1:4" s="669" customFormat="1" ht="12.75" x14ac:dyDescent="0.2">
      <c r="A8" s="1139"/>
      <c r="B8" s="1094"/>
      <c r="C8" s="1097" t="s">
        <v>1581</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84" t="s">
        <v>1063</v>
      </c>
      <c r="B15" s="2385"/>
      <c r="C15" s="2385"/>
      <c r="D15" s="2386"/>
    </row>
    <row r="16" spans="1:4" s="669" customFormat="1" ht="24" customHeight="1" x14ac:dyDescent="0.2">
      <c r="A16" s="2387" t="s">
        <v>682</v>
      </c>
      <c r="B16" s="2388"/>
      <c r="C16" s="2388"/>
      <c r="D16" s="2389"/>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396" t="s">
        <v>330</v>
      </c>
      <c r="D21" s="2397"/>
    </row>
    <row r="22" spans="1:10" ht="12.75" x14ac:dyDescent="0.2">
      <c r="A22" s="1140"/>
      <c r="B22" s="1141">
        <v>2</v>
      </c>
      <c r="C22" s="2394" t="s">
        <v>1603</v>
      </c>
      <c r="D22" s="2395"/>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398" t="s">
        <v>555</v>
      </c>
      <c r="D43" s="2399"/>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0" t="s">
        <v>815</v>
      </c>
      <c r="D56" s="2391"/>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1077</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0" t="s">
        <v>1795</v>
      </c>
      <c r="D70" s="2391"/>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2050</v>
      </c>
      <c r="D78" s="1125" t="str">
        <f>IF(ISNUMBER('Acct Summary 7-8'!C9),"OK","ENTRY IS REQUIRED!")</f>
        <v>ENTRY IS REQUIRED!</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42578125" style="2" customWidth="1"/>
    <col min="6" max="6" width="16.42578125" bestFit="1" customWidth="1"/>
  </cols>
  <sheetData>
    <row r="1" spans="1:2" x14ac:dyDescent="0.2">
      <c r="A1" t="s">
        <v>574</v>
      </c>
      <c r="B1" s="138" t="s">
        <v>277</v>
      </c>
    </row>
    <row r="2" spans="1:2" x14ac:dyDescent="0.2">
      <c r="A2" t="s">
        <v>278</v>
      </c>
      <c r="B2" s="138">
        <f>COVER!A13</f>
        <v>41057010041</v>
      </c>
    </row>
    <row r="3" spans="1:2" x14ac:dyDescent="0.2">
      <c r="A3" t="s">
        <v>1011</v>
      </c>
      <c r="B3" s="138" t="str">
        <f>COVER!A15</f>
        <v>Madison and St. Clair</v>
      </c>
    </row>
    <row r="4" spans="1:2" x14ac:dyDescent="0.2">
      <c r="A4" t="s">
        <v>1062</v>
      </c>
      <c r="B4" s="138" t="str">
        <f>COVER!A17</f>
        <v>Collinsville Area Vocational Center</v>
      </c>
    </row>
    <row r="5" spans="1:2" x14ac:dyDescent="0.2">
      <c r="A5" t="s">
        <v>726</v>
      </c>
      <c r="B5" s="138" t="str">
        <f>COVER!A38</f>
        <v>Dr. Robert E Green</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f>COVER!B5</f>
        <v>0</v>
      </c>
    </row>
    <row r="11" spans="1:2" x14ac:dyDescent="0.2">
      <c r="A11" t="s">
        <v>1032</v>
      </c>
      <c r="B11" s="138" t="str">
        <f>COVER!B6</f>
        <v>X</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065-023270</v>
      </c>
    </row>
    <row r="16" spans="1:2" x14ac:dyDescent="0.2">
      <c r="A16" t="s">
        <v>440</v>
      </c>
      <c r="B16" s="138" t="str">
        <f>COVER!T13</f>
        <v>Schowalter &amp; Jabouri, P.C.</v>
      </c>
    </row>
    <row r="17" spans="1:2" x14ac:dyDescent="0.2">
      <c r="A17" t="s">
        <v>937</v>
      </c>
      <c r="B17" s="138" t="str">
        <f>COVER!T15</f>
        <v>James K Torti, CPA, CFE</v>
      </c>
    </row>
    <row r="18" spans="1:2" x14ac:dyDescent="0.2">
      <c r="A18" t="s">
        <v>1210</v>
      </c>
      <c r="B18" s="138" t="str">
        <f>COVER!T17</f>
        <v>11878 Gravois Road</v>
      </c>
    </row>
    <row r="19" spans="1:2" x14ac:dyDescent="0.2">
      <c r="A19" t="s">
        <v>939</v>
      </c>
      <c r="B19" s="138" t="str">
        <f>COVER!T25</f>
        <v>jtorti@sjcpa.com</v>
      </c>
    </row>
    <row r="20" spans="1:2" x14ac:dyDescent="0.2">
      <c r="A20" t="s">
        <v>940</v>
      </c>
      <c r="B20" s="138" t="str">
        <f>COVER!T19</f>
        <v>St. Louis</v>
      </c>
    </row>
    <row r="21" spans="1:2" x14ac:dyDescent="0.2">
      <c r="A21" t="s">
        <v>498</v>
      </c>
      <c r="B21" s="138" t="str">
        <f>COVER!X19</f>
        <v>MO</v>
      </c>
    </row>
    <row r="22" spans="1:2" x14ac:dyDescent="0.2">
      <c r="A22" t="s">
        <v>941</v>
      </c>
      <c r="B22" s="138">
        <f>COVER!Z19</f>
        <v>63127</v>
      </c>
    </row>
    <row r="23" spans="1:2" x14ac:dyDescent="0.2">
      <c r="A23" t="s">
        <v>1212</v>
      </c>
      <c r="B23" s="138" t="str">
        <f>COVER!T21</f>
        <v>314-849-4999</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398832</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131</v>
      </c>
      <c r="C91" s="2" t="s">
        <v>592</v>
      </c>
      <c r="D91" s="2" t="str">
        <f t="shared" si="0"/>
        <v>Error?</v>
      </c>
    </row>
    <row r="92" spans="1:4" x14ac:dyDescent="0.2">
      <c r="A92" s="5">
        <v>31</v>
      </c>
      <c r="B92" s="138">
        <f>'Assets-Liab 5-6'!C39</f>
        <v>398701</v>
      </c>
      <c r="D92" s="2" t="str">
        <f t="shared" si="0"/>
        <v>Error?</v>
      </c>
    </row>
    <row r="93" spans="1:4" x14ac:dyDescent="0.2">
      <c r="A93" s="5">
        <v>32</v>
      </c>
      <c r="B93" s="138">
        <f>'Assets-Liab 5-6'!C41</f>
        <v>398832</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1073195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1073195</v>
      </c>
      <c r="C279" s="2" t="s">
        <v>592</v>
      </c>
      <c r="D279" s="2" t="str">
        <f t="shared" si="3"/>
        <v>Error?</v>
      </c>
    </row>
    <row r="280" spans="1:4" x14ac:dyDescent="0.2">
      <c r="A280" s="5">
        <v>219</v>
      </c>
      <c r="B280" s="138">
        <f>'Assets-Liab 5-6'!M40</f>
        <v>1073195</v>
      </c>
      <c r="D280" s="2" t="str">
        <f t="shared" si="3"/>
        <v>Error?</v>
      </c>
    </row>
    <row r="281" spans="1:4" x14ac:dyDescent="0.2">
      <c r="A281" s="5">
        <v>220</v>
      </c>
      <c r="B281" s="138">
        <f>'Assets-Liab 5-6'!M41</f>
        <v>1073195</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592</v>
      </c>
      <c r="D287" s="2" t="str">
        <f t="shared" si="3"/>
        <v>Error?</v>
      </c>
    </row>
    <row r="288" spans="1:4" x14ac:dyDescent="0.2">
      <c r="A288" s="5">
        <v>227</v>
      </c>
      <c r="B288" s="138">
        <f>'Assets-Liab 5-6'!N41</f>
        <v>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20761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437100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457861</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592</v>
      </c>
      <c r="D734" s="2" t="str">
        <f t="shared" si="10"/>
        <v>Error?</v>
      </c>
    </row>
    <row r="735" spans="1:4" x14ac:dyDescent="0.2">
      <c r="A735" s="5">
        <v>674</v>
      </c>
      <c r="B735" s="138">
        <f>'Expenditures 15-22'!C55</f>
        <v>151197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151197</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46098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46098</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197295</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655156</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47289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47590</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592</v>
      </c>
      <c r="D789" s="2" t="str">
        <f t="shared" si="11"/>
        <v>Error?</v>
      </c>
    </row>
    <row r="790" spans="1:4" x14ac:dyDescent="0.2">
      <c r="A790" s="5">
        <v>729</v>
      </c>
      <c r="B790" s="138">
        <f>'Expenditures 15-22'!D49</f>
        <v>9210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9210</v>
      </c>
      <c r="C792" s="2" t="s">
        <v>592</v>
      </c>
      <c r="D792" s="2" t="str">
        <f t="shared" si="11"/>
        <v>Error?</v>
      </c>
    </row>
    <row r="793" spans="1:4" x14ac:dyDescent="0.2">
      <c r="A793" s="5">
        <v>732</v>
      </c>
      <c r="B793" s="138">
        <f>'Expenditures 15-22'!D55</f>
        <v>27684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27684</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15758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15758</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52652</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100242</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2037</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2037</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592</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592</v>
      </c>
      <c r="D850" s="2" t="str">
        <f t="shared" si="12"/>
        <v>Error?</v>
      </c>
    </row>
    <row r="851" spans="1:4" x14ac:dyDescent="0.2">
      <c r="A851" s="5">
        <v>790</v>
      </c>
      <c r="B851" s="138">
        <f>'Expenditures 15-22'!E55</f>
        <v>700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700</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2737</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11741</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11741</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592</v>
      </c>
      <c r="D901" s="2" t="str">
        <f t="shared" si="13"/>
        <v>Error?</v>
      </c>
    </row>
    <row r="902" spans="1:4" x14ac:dyDescent="0.2">
      <c r="A902" s="5">
        <v>841</v>
      </c>
      <c r="B902" s="138">
        <f>'Expenditures 15-22'!F44</f>
        <v>40505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40505</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592</v>
      </c>
      <c r="D908" s="2" t="str">
        <f t="shared" si="13"/>
        <v>Error?</v>
      </c>
    </row>
    <row r="909" spans="1:4" x14ac:dyDescent="0.2">
      <c r="A909" s="5">
        <v>848</v>
      </c>
      <c r="B909" s="138">
        <f>'Expenditures 15-22'!F55</f>
        <v>1011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1011</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41516</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53257</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30041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30041</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30041</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-500</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-500</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21062</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528208</v>
      </c>
      <c r="C1105" s="2" t="s">
        <v>592</v>
      </c>
      <c r="D1105" s="2" t="str">
        <f t="shared" si="16"/>
        <v>Error?</v>
      </c>
    </row>
    <row r="1106" spans="1:4" x14ac:dyDescent="0.2">
      <c r="A1106" s="5">
        <v>1045</v>
      </c>
      <c r="B1106" s="138">
        <f>'Expenditures 15-22'!K14</f>
        <v>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549270</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0</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0</v>
      </c>
      <c r="C1115" s="2" t="s">
        <v>592</v>
      </c>
      <c r="D1115" s="2" t="str">
        <f t="shared" si="16"/>
        <v>Error?</v>
      </c>
    </row>
    <row r="1116" spans="1:4" x14ac:dyDescent="0.2">
      <c r="A1116" s="5">
        <v>1055</v>
      </c>
      <c r="B1116" s="138">
        <f>'Expenditures 15-22'!K44</f>
        <v>40505</v>
      </c>
      <c r="C1116" s="2" t="s">
        <v>592</v>
      </c>
      <c r="D1116" s="2" t="str">
        <f t="shared" si="16"/>
        <v>Error?</v>
      </c>
    </row>
    <row r="1117" spans="1:4" x14ac:dyDescent="0.2">
      <c r="A1117" s="5">
        <v>1056</v>
      </c>
      <c r="B1117" s="138">
        <f>'Expenditures 15-22'!K45</f>
        <v>0</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40505</v>
      </c>
      <c r="C1119" s="2" t="s">
        <v>592</v>
      </c>
      <c r="D1119" s="2" t="str">
        <f t="shared" si="16"/>
        <v>Error?</v>
      </c>
    </row>
    <row r="1120" spans="1:4" x14ac:dyDescent="0.2">
      <c r="A1120" s="5">
        <v>1059</v>
      </c>
      <c r="B1120" s="138">
        <f>'Expenditures 15-22'!K49</f>
        <v>9210</v>
      </c>
      <c r="C1120" s="2" t="s">
        <v>592</v>
      </c>
      <c r="D1120" s="2" t="str">
        <f t="shared" si="16"/>
        <v>Error?</v>
      </c>
    </row>
    <row r="1121" spans="1:4" x14ac:dyDescent="0.2">
      <c r="A1121" s="5">
        <v>1060</v>
      </c>
      <c r="B1121" s="138">
        <f>'Expenditures 15-22'!K50</f>
        <v>0</v>
      </c>
      <c r="C1121" s="2" t="s">
        <v>592</v>
      </c>
      <c r="D1121" s="2" t="str">
        <f t="shared" si="16"/>
        <v>Error?</v>
      </c>
    </row>
    <row r="1122" spans="1:4" x14ac:dyDescent="0.2">
      <c r="A1122" s="5">
        <v>1061</v>
      </c>
      <c r="B1122" s="138">
        <f>'Expenditures 15-22'!K53</f>
        <v>9210</v>
      </c>
      <c r="C1122" s="2" t="s">
        <v>592</v>
      </c>
      <c r="D1122" s="2" t="str">
        <f t="shared" si="16"/>
        <v>Error?</v>
      </c>
    </row>
    <row r="1123" spans="1:4" x14ac:dyDescent="0.2">
      <c r="A1123" s="5">
        <v>1062</v>
      </c>
      <c r="B1123" s="138">
        <f>'Expenditures 15-22'!K55</f>
        <v>180592</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180592</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-500</v>
      </c>
      <c r="C1127" s="2" t="s">
        <v>592</v>
      </c>
      <c r="D1127" s="2" t="str">
        <f t="shared" si="16"/>
        <v>Error?</v>
      </c>
    </row>
    <row r="1128" spans="1:4" x14ac:dyDescent="0.2">
      <c r="A1128" s="5">
        <v>1067</v>
      </c>
      <c r="B1128" s="138">
        <f>'Expenditures 15-22'!K61</f>
        <v>61856</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0</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61356</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291663</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0</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840933</v>
      </c>
      <c r="C1152" s="2" t="s">
        <v>592</v>
      </c>
      <c r="D1152" s="2" t="str">
        <f t="shared" si="17"/>
        <v>Error?</v>
      </c>
    </row>
    <row r="1153" spans="1:4" x14ac:dyDescent="0.2">
      <c r="A1153" s="5">
        <v>1092</v>
      </c>
      <c r="B1153" s="138">
        <f>'Expenditures 15-22'!K115</f>
        <v>74748</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17769</v>
      </c>
      <c r="D1237" s="2" t="str">
        <f t="shared" si="18"/>
        <v>Error?</v>
      </c>
    </row>
    <row r="1238" spans="1:4" x14ac:dyDescent="0.2">
      <c r="A1238" s="10">
        <v>1177</v>
      </c>
      <c r="D1238" s="2" t="str">
        <f t="shared" si="18"/>
        <v>OK</v>
      </c>
    </row>
    <row r="1239" spans="1:4" x14ac:dyDescent="0.2">
      <c r="A1239" s="5">
        <v>1178</v>
      </c>
      <c r="B1239" s="138">
        <f>'Expenditures 15-22'!E127</f>
        <v>17769</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17769</v>
      </c>
      <c r="C1241" s="2" t="s">
        <v>592</v>
      </c>
      <c r="D1241" s="2" t="str">
        <f t="shared" si="18"/>
        <v>Error?</v>
      </c>
    </row>
    <row r="1242" spans="1:4" x14ac:dyDescent="0.2">
      <c r="A1242" s="5">
        <v>1181</v>
      </c>
      <c r="B1242" s="138">
        <f>'Expenditures 15-22'!E151</f>
        <v>17769</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1324</v>
      </c>
      <c r="D1245" s="2" t="str">
        <f t="shared" si="18"/>
        <v>Error?</v>
      </c>
    </row>
    <row r="1246" spans="1:4" x14ac:dyDescent="0.2">
      <c r="A1246" s="10">
        <v>1185</v>
      </c>
      <c r="D1246" s="2" t="str">
        <f t="shared" si="18"/>
        <v>OK</v>
      </c>
    </row>
    <row r="1247" spans="1:4" x14ac:dyDescent="0.2">
      <c r="A1247" s="5">
        <v>1186</v>
      </c>
      <c r="B1247" s="138">
        <f>'Expenditures 15-22'!F127</f>
        <v>1324</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1324</v>
      </c>
      <c r="C1249" s="2" t="s">
        <v>592</v>
      </c>
      <c r="D1249" s="2" t="str">
        <f t="shared" si="18"/>
        <v>Error?</v>
      </c>
    </row>
    <row r="1250" spans="1:4" x14ac:dyDescent="0.2">
      <c r="A1250" s="5">
        <v>1189</v>
      </c>
      <c r="B1250" s="138">
        <f>'Expenditures 15-22'!F151</f>
        <v>1324</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19093</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19093</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19093</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19093</v>
      </c>
      <c r="C1288" s="2" t="s">
        <v>592</v>
      </c>
      <c r="D1288" s="2" t="str">
        <f t="shared" si="19"/>
        <v>Error?</v>
      </c>
    </row>
    <row r="1289" spans="1:4" x14ac:dyDescent="0.2">
      <c r="A1289" s="5">
        <v>1228</v>
      </c>
      <c r="B1289" s="138">
        <f>'Expenditures 15-22'!K152</f>
        <v>3688</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592</v>
      </c>
      <c r="D1317" s="2" t="str">
        <f t="shared" si="19"/>
        <v>Error?</v>
      </c>
    </row>
    <row r="1318" spans="1:4" x14ac:dyDescent="0.2">
      <c r="A1318" s="5">
        <v>1257</v>
      </c>
      <c r="B1318" s="138">
        <f>'Expenditures 15-22'!H174</f>
        <v>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0</v>
      </c>
      <c r="C1331" s="2" t="s">
        <v>592</v>
      </c>
      <c r="D1331" s="2" t="str">
        <f t="shared" si="19"/>
        <v>Error?</v>
      </c>
    </row>
    <row r="1332" spans="1:4" x14ac:dyDescent="0.2">
      <c r="A1332" s="5">
        <v>1271</v>
      </c>
      <c r="B1332" s="138">
        <f>'Expenditures 15-22'!K174</f>
        <v>0</v>
      </c>
      <c r="C1332" s="2" t="s">
        <v>592</v>
      </c>
      <c r="D1332" s="2" t="str">
        <f t="shared" si="19"/>
        <v>Error?</v>
      </c>
    </row>
    <row r="1333" spans="1:4" x14ac:dyDescent="0.2">
      <c r="A1333" s="5">
        <v>1272</v>
      </c>
      <c r="B1333" s="138">
        <f>'Expenditures 15-22'!K175</f>
        <v>0</v>
      </c>
      <c r="C1333" s="2" t="s">
        <v>592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592</v>
      </c>
      <c r="D1339" s="2" t="str">
        <f t="shared" si="19"/>
        <v>Error?</v>
      </c>
    </row>
    <row r="1340" spans="1:4" x14ac:dyDescent="0.2">
      <c r="A1340" s="5">
        <v>1279</v>
      </c>
      <c r="B1340" s="138">
        <f>'Expenditures 15-22'!C210</f>
        <v>0</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27055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27055</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27055</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27055</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27055</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27055</v>
      </c>
      <c r="C1388" s="2" t="s">
        <v>592</v>
      </c>
      <c r="D1388" s="2" t="str">
        <f t="shared" si="20"/>
        <v>Error?</v>
      </c>
    </row>
    <row r="1389" spans="1:4" x14ac:dyDescent="0.2">
      <c r="A1389" s="5">
        <v>1328</v>
      </c>
      <c r="B1389" s="138">
        <f>'Expenditures 15-22'!K211</f>
        <v>-7017</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0</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0</v>
      </c>
      <c r="C1487" s="2" t="s">
        <v>592</v>
      </c>
      <c r="D1487" s="2" t="str">
        <f t="shared" si="22"/>
        <v>Error?</v>
      </c>
    </row>
    <row r="1488" spans="1:4" x14ac:dyDescent="0.2">
      <c r="A1488" s="5">
        <v>1427</v>
      </c>
      <c r="B1488" s="138">
        <f>'Expenditures 15-22'!K257</f>
        <v>0</v>
      </c>
      <c r="C1488" s="2" t="s">
        <v>592</v>
      </c>
      <c r="D1488" s="2" t="str">
        <f t="shared" si="22"/>
        <v>Error?</v>
      </c>
    </row>
    <row r="1489" spans="1:4" x14ac:dyDescent="0.2">
      <c r="A1489" s="5">
        <v>1428</v>
      </c>
      <c r="B1489" s="138">
        <f>'Expenditures 15-22'!K259</f>
        <v>0</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0</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0</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0</v>
      </c>
      <c r="C1495" s="2" t="s">
        <v>592</v>
      </c>
      <c r="D1495" s="2" t="str">
        <f t="shared" si="22"/>
        <v>Error?</v>
      </c>
    </row>
    <row r="1496" spans="1:4" x14ac:dyDescent="0.2">
      <c r="A1496" s="5">
        <v>1435</v>
      </c>
      <c r="B1496" s="138">
        <f>'Expenditures 15-22'!K267</f>
        <v>0</v>
      </c>
      <c r="C1496" s="2" t="s">
        <v>592</v>
      </c>
      <c r="D1496" s="2" t="str">
        <f t="shared" si="22"/>
        <v>Error?</v>
      </c>
    </row>
    <row r="1497" spans="1:4" x14ac:dyDescent="0.2">
      <c r="A1497" s="5">
        <v>1436</v>
      </c>
      <c r="B1497" s="138">
        <f>'Expenditures 15-22'!K268</f>
        <v>0</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0</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0</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0</v>
      </c>
      <c r="C1517" s="2" t="s">
        <v>592</v>
      </c>
      <c r="D1517" s="2" t="str">
        <f t="shared" si="22"/>
        <v>Error?</v>
      </c>
    </row>
    <row r="1518" spans="1:4" x14ac:dyDescent="0.2">
      <c r="A1518" s="5">
        <v>1457</v>
      </c>
      <c r="B1518" s="138">
        <f>'Expenditures 15-22'!K296</f>
        <v>0</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327282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398701</v>
      </c>
      <c r="C1630" s="2" t="s">
        <v>592</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592</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592</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592</v>
      </c>
      <c r="D1744" s="2" t="str">
        <f t="shared" si="26"/>
        <v>Error?</v>
      </c>
    </row>
    <row r="1745" spans="1:5" x14ac:dyDescent="0.2">
      <c r="A1745" s="5">
        <v>1684</v>
      </c>
      <c r="B1745" s="138">
        <f>'Tax Sched 23'!B5</f>
        <v>0</v>
      </c>
      <c r="C1745" s="2" t="s">
        <v>592</v>
      </c>
      <c r="D1745" s="2" t="str">
        <f t="shared" si="26"/>
        <v>Error?</v>
      </c>
    </row>
    <row r="1746" spans="1:5" x14ac:dyDescent="0.2">
      <c r="A1746" s="5">
        <v>1685</v>
      </c>
      <c r="B1746" s="138">
        <f>'Tax Sched 23'!B6</f>
        <v>0</v>
      </c>
      <c r="C1746" s="2" t="s">
        <v>592</v>
      </c>
      <c r="D1746" s="2" t="str">
        <f t="shared" si="26"/>
        <v>Error?</v>
      </c>
    </row>
    <row r="1747" spans="1:5" x14ac:dyDescent="0.2">
      <c r="A1747" s="5">
        <v>1686</v>
      </c>
      <c r="B1747" s="138">
        <f>'Tax Sched 23'!B7</f>
        <v>0</v>
      </c>
      <c r="C1747" s="2" t="s">
        <v>592</v>
      </c>
      <c r="D1747" s="2" t="str">
        <f t="shared" si="26"/>
        <v>Error?</v>
      </c>
    </row>
    <row r="1748" spans="1:5" x14ac:dyDescent="0.2">
      <c r="A1748" s="5">
        <v>1687</v>
      </c>
      <c r="B1748" s="138">
        <f>'Tax Sched 23'!B8</f>
        <v>0</v>
      </c>
      <c r="C1748" s="2" t="s">
        <v>592</v>
      </c>
      <c r="D1748" s="2" t="str">
        <f t="shared" si="26"/>
        <v>Error?</v>
      </c>
    </row>
    <row r="1749" spans="1:5" x14ac:dyDescent="0.2">
      <c r="A1749" s="5">
        <v>1688</v>
      </c>
      <c r="B1749" s="138">
        <f>'Tax Sched 23'!B10</f>
        <v>0</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0</v>
      </c>
      <c r="C1752" s="2" t="s">
        <v>592</v>
      </c>
      <c r="D1752" s="2" t="str">
        <f t="shared" si="26"/>
        <v>Error?</v>
      </c>
    </row>
    <row r="1753" spans="1:5" x14ac:dyDescent="0.2">
      <c r="A1753" s="5">
        <v>1692</v>
      </c>
      <c r="B1753" s="138">
        <f>'Tax Sched 23'!B12</f>
        <v>0</v>
      </c>
      <c r="C1753" s="2" t="s">
        <v>592</v>
      </c>
      <c r="D1753" s="2" t="str">
        <f t="shared" si="26"/>
        <v>Error?</v>
      </c>
    </row>
    <row r="1754" spans="1:5" x14ac:dyDescent="0.2">
      <c r="A1754" s="5">
        <v>1693</v>
      </c>
      <c r="B1754" s="138">
        <f>'Tax Sched 23'!B14</f>
        <v>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0</v>
      </c>
      <c r="C1759" s="2" t="s">
        <v>592</v>
      </c>
      <c r="D1759" s="2" t="str">
        <f t="shared" si="26"/>
        <v>Error?</v>
      </c>
    </row>
    <row r="1760" spans="1:5" x14ac:dyDescent="0.2">
      <c r="A1760" s="5">
        <v>1699</v>
      </c>
      <c r="B1760" s="138">
        <f>'Tax Sched 23'!D4</f>
        <v>0</v>
      </c>
      <c r="C1760" s="2" t="s">
        <v>592</v>
      </c>
      <c r="D1760" s="2" t="str">
        <f t="shared" si="26"/>
        <v>Error?</v>
      </c>
    </row>
    <row r="1761" spans="1:5" x14ac:dyDescent="0.2">
      <c r="A1761" s="5">
        <v>1700</v>
      </c>
      <c r="B1761" s="138">
        <f>'Tax Sched 23'!D5</f>
        <v>0</v>
      </c>
      <c r="C1761" s="2" t="s">
        <v>592</v>
      </c>
      <c r="D1761" s="2" t="str">
        <f t="shared" si="26"/>
        <v>Error?</v>
      </c>
    </row>
    <row r="1762" spans="1:5" s="8" customFormat="1" x14ac:dyDescent="0.2">
      <c r="A1762" s="5">
        <v>1701</v>
      </c>
      <c r="B1762" s="138">
        <f>'Tax Sched 23'!D6</f>
        <v>0</v>
      </c>
      <c r="C1762" s="2" t="s">
        <v>592</v>
      </c>
      <c r="D1762" s="2" t="str">
        <f t="shared" si="26"/>
        <v>Error?</v>
      </c>
      <c r="E1762" s="9"/>
    </row>
    <row r="1763" spans="1:5" x14ac:dyDescent="0.2">
      <c r="A1763" s="5">
        <v>1702</v>
      </c>
      <c r="B1763" s="138">
        <f>'Tax Sched 23'!D7</f>
        <v>0</v>
      </c>
      <c r="C1763" s="2" t="s">
        <v>592</v>
      </c>
      <c r="D1763" s="2" t="str">
        <f t="shared" si="26"/>
        <v>Error?</v>
      </c>
    </row>
    <row r="1764" spans="1:5" x14ac:dyDescent="0.2">
      <c r="A1764" s="5">
        <v>1703</v>
      </c>
      <c r="B1764" s="138">
        <f>'Tax Sched 23'!D8</f>
        <v>0</v>
      </c>
      <c r="C1764" s="2" t="s">
        <v>592</v>
      </c>
      <c r="D1764" s="2" t="str">
        <f t="shared" si="26"/>
        <v>Error?</v>
      </c>
    </row>
    <row r="1765" spans="1:5" x14ac:dyDescent="0.2">
      <c r="A1765" s="5">
        <v>1704</v>
      </c>
      <c r="B1765" s="138">
        <f>'Tax Sched 23'!D10</f>
        <v>0</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0</v>
      </c>
      <c r="C1768" s="2" t="s">
        <v>592</v>
      </c>
      <c r="D1768" s="2" t="str">
        <f t="shared" si="26"/>
        <v>Error?</v>
      </c>
    </row>
    <row r="1769" spans="1:5" x14ac:dyDescent="0.2">
      <c r="A1769" s="5">
        <v>1708</v>
      </c>
      <c r="B1769" s="138">
        <f>'Tax Sched 23'!D12</f>
        <v>0</v>
      </c>
      <c r="C1769" s="2" t="s">
        <v>592</v>
      </c>
      <c r="D1769" s="2" t="str">
        <f t="shared" si="26"/>
        <v>Error?</v>
      </c>
    </row>
    <row r="1770" spans="1:5" x14ac:dyDescent="0.2">
      <c r="A1770" s="5">
        <v>1709</v>
      </c>
      <c r="B1770" s="138">
        <f>'Tax Sched 23'!D14</f>
        <v>0</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0</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0</v>
      </c>
      <c r="C1792" s="2" t="s">
        <v>592</v>
      </c>
      <c r="D1792" s="2" t="str">
        <f t="shared" si="27"/>
        <v>Error?</v>
      </c>
    </row>
    <row r="1793" spans="1:4" x14ac:dyDescent="0.2">
      <c r="A1793" s="5">
        <v>1732</v>
      </c>
      <c r="B1793" s="138">
        <f>'Tax Sched 23'!F5</f>
        <v>0</v>
      </c>
      <c r="C1793" s="2" t="s">
        <v>592</v>
      </c>
      <c r="D1793" s="2" t="str">
        <f t="shared" si="27"/>
        <v>Error?</v>
      </c>
    </row>
    <row r="1794" spans="1:4" x14ac:dyDescent="0.2">
      <c r="A1794" s="5">
        <v>1733</v>
      </c>
      <c r="B1794" s="138">
        <f>'Tax Sched 23'!F6</f>
        <v>0</v>
      </c>
      <c r="C1794" s="2" t="s">
        <v>592</v>
      </c>
      <c r="D1794" s="2" t="str">
        <f t="shared" si="27"/>
        <v>Error?</v>
      </c>
    </row>
    <row r="1795" spans="1:4" x14ac:dyDescent="0.2">
      <c r="A1795" s="5">
        <v>1734</v>
      </c>
      <c r="B1795" s="138">
        <f>'Tax Sched 23'!F7</f>
        <v>0</v>
      </c>
      <c r="C1795" s="2" t="s">
        <v>592</v>
      </c>
      <c r="D1795" s="2" t="str">
        <f t="shared" si="27"/>
        <v>Error?</v>
      </c>
    </row>
    <row r="1796" spans="1:4" x14ac:dyDescent="0.2">
      <c r="A1796" s="5">
        <v>1735</v>
      </c>
      <c r="B1796" s="138">
        <f>'Tax Sched 23'!F8</f>
        <v>0</v>
      </c>
      <c r="C1796" s="2" t="s">
        <v>592</v>
      </c>
      <c r="D1796" s="2" t="str">
        <f t="shared" si="27"/>
        <v>Error?</v>
      </c>
    </row>
    <row r="1797" spans="1:4" x14ac:dyDescent="0.2">
      <c r="A1797" s="5">
        <v>1736</v>
      </c>
      <c r="B1797" s="138">
        <f>'Tax Sched 23'!F10</f>
        <v>0</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0</v>
      </c>
      <c r="C1800" s="2" t="s">
        <v>592</v>
      </c>
      <c r="D1800" s="2" t="str">
        <f t="shared" si="27"/>
        <v>Error?</v>
      </c>
    </row>
    <row r="1801" spans="1:4" x14ac:dyDescent="0.2">
      <c r="A1801" s="5">
        <v>1740</v>
      </c>
      <c r="B1801" s="138">
        <f>'Tax Sched 23'!F12</f>
        <v>0</v>
      </c>
      <c r="C1801" s="2" t="s">
        <v>592</v>
      </c>
      <c r="D1801" s="2" t="str">
        <f t="shared" si="27"/>
        <v>Error?</v>
      </c>
    </row>
    <row r="1802" spans="1:4" x14ac:dyDescent="0.2">
      <c r="A1802" s="5">
        <v>1741</v>
      </c>
      <c r="B1802" s="138">
        <f>'Tax Sched 23'!F14</f>
        <v>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0</v>
      </c>
      <c r="C1807" s="2" t="s">
        <v>592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1043154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1043154</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30041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30041</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0</v>
      </c>
      <c r="C2027" s="2" t="s">
        <v>592</v>
      </c>
      <c r="D2027" s="2" t="str">
        <f t="shared" si="30"/>
        <v>Error?</v>
      </c>
    </row>
    <row r="2028" spans="1:4" x14ac:dyDescent="0.2">
      <c r="A2028" s="5">
        <v>1967</v>
      </c>
      <c r="B2028" s="138">
        <f>'Cap Outlay Deprec 26'!F10</f>
        <v>0</v>
      </c>
      <c r="C2028" s="2" t="s">
        <v>592</v>
      </c>
      <c r="D2028" s="2" t="str">
        <f t="shared" si="30"/>
        <v>Error?</v>
      </c>
    </row>
    <row r="2029" spans="1:4" x14ac:dyDescent="0.2">
      <c r="A2029" s="5">
        <v>1968</v>
      </c>
      <c r="B2029" s="138">
        <f>'Cap Outlay Deprec 26'!F12</f>
        <v>1073195</v>
      </c>
      <c r="C2029" s="2" t="s">
        <v>592</v>
      </c>
      <c r="D2029" s="2" t="str">
        <f t="shared" si="30"/>
        <v>Error?</v>
      </c>
    </row>
    <row r="2030" spans="1:4" x14ac:dyDescent="0.2">
      <c r="A2030" s="5">
        <v>1969</v>
      </c>
      <c r="B2030" s="138">
        <f>'Cap Outlay Deprec 26'!F13</f>
        <v>0</v>
      </c>
      <c r="C2030" s="2" t="s">
        <v>592</v>
      </c>
      <c r="D2030" s="2" t="str">
        <f t="shared" si="30"/>
        <v>Error?</v>
      </c>
    </row>
    <row r="2031" spans="1:4" x14ac:dyDescent="0.2">
      <c r="A2031" s="5">
        <v>1970</v>
      </c>
      <c r="B2031" s="138">
        <f>'Cap Outlay Deprec 26'!F16</f>
        <v>1073195</v>
      </c>
      <c r="C2031" s="2" t="s">
        <v>592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865968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865968</v>
      </c>
      <c r="C2037" s="2" t="s">
        <v>592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36220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36220</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0</v>
      </c>
      <c r="C2051" s="2" t="s">
        <v>592</v>
      </c>
      <c r="D2051" s="2" t="str">
        <f t="shared" si="31"/>
        <v>Error?</v>
      </c>
    </row>
    <row r="2052" spans="1:4" x14ac:dyDescent="0.2">
      <c r="A2052" s="5">
        <v>1991</v>
      </c>
      <c r="B2052" s="138">
        <f>'Cap Outlay Deprec 26'!K10</f>
        <v>0</v>
      </c>
      <c r="C2052" s="2" t="s">
        <v>592</v>
      </c>
      <c r="D2052" s="2" t="str">
        <f t="shared" si="31"/>
        <v>Error?</v>
      </c>
    </row>
    <row r="2053" spans="1:4" x14ac:dyDescent="0.2">
      <c r="A2053" s="5">
        <v>1992</v>
      </c>
      <c r="B2053" s="138">
        <f>'Cap Outlay Deprec 26'!K12</f>
        <v>902188</v>
      </c>
      <c r="C2053" s="2" t="s">
        <v>592</v>
      </c>
      <c r="D2053" s="2" t="str">
        <f t="shared" si="31"/>
        <v>Error?</v>
      </c>
    </row>
    <row r="2054" spans="1:4" x14ac:dyDescent="0.2">
      <c r="A2054" s="5">
        <v>1993</v>
      </c>
      <c r="B2054" s="138">
        <f>'Cap Outlay Deprec 26'!K13</f>
        <v>0</v>
      </c>
      <c r="C2054" s="2" t="s">
        <v>592</v>
      </c>
      <c r="D2054" s="2" t="str">
        <f t="shared" si="31"/>
        <v>Error?</v>
      </c>
    </row>
    <row r="2055" spans="1:4" x14ac:dyDescent="0.2">
      <c r="A2055" s="5">
        <v>1994</v>
      </c>
      <c r="B2055" s="138">
        <f>'Cap Outlay Deprec 26'!K16</f>
        <v>902188</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0</v>
      </c>
      <c r="C2057" s="2" t="s">
        <v>592</v>
      </c>
      <c r="D2057" s="2" t="str">
        <f t="shared" si="31"/>
        <v>Error?</v>
      </c>
    </row>
    <row r="2058" spans="1:4" x14ac:dyDescent="0.2">
      <c r="A2058" s="5">
        <v>1997</v>
      </c>
      <c r="B2058" s="138">
        <f>'Cap Outlay Deprec 26'!L10</f>
        <v>0</v>
      </c>
      <c r="C2058" s="2" t="s">
        <v>592</v>
      </c>
      <c r="D2058" s="2" t="str">
        <f t="shared" si="31"/>
        <v>Error?</v>
      </c>
    </row>
    <row r="2059" spans="1:4" x14ac:dyDescent="0.2">
      <c r="A2059" s="5">
        <v>1998</v>
      </c>
      <c r="B2059" s="138">
        <f>'Cap Outlay Deprec 26'!L12</f>
        <v>171007</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171007</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663419</v>
      </c>
      <c r="C2551" s="2" t="s">
        <v>592</v>
      </c>
      <c r="D2551" s="2" t="str">
        <f t="shared" si="38"/>
        <v>Error?</v>
      </c>
    </row>
    <row r="2552" spans="1:4" x14ac:dyDescent="0.2">
      <c r="A2552" s="10">
        <v>2491</v>
      </c>
      <c r="D2552" s="2" t="str">
        <f t="shared" si="38"/>
        <v>OK</v>
      </c>
    </row>
    <row r="2553" spans="1:4" x14ac:dyDescent="0.2">
      <c r="A2553" s="5">
        <v>2492</v>
      </c>
      <c r="B2553" s="138">
        <f>'Acct Summary 7-8'!C6</f>
        <v>0</v>
      </c>
      <c r="C2553" s="2" t="s">
        <v>592</v>
      </c>
      <c r="D2553" s="2" t="str">
        <f t="shared" si="38"/>
        <v>Error?</v>
      </c>
    </row>
    <row r="2554" spans="1:4" x14ac:dyDescent="0.2">
      <c r="A2554" s="5">
        <v>2493</v>
      </c>
      <c r="B2554" s="138">
        <f>'Acct Summary 7-8'!C7</f>
        <v>0</v>
      </c>
      <c r="C2554" s="2" t="s">
        <v>592</v>
      </c>
      <c r="D2554" s="2" t="str">
        <f t="shared" si="38"/>
        <v>Error?</v>
      </c>
    </row>
    <row r="2555" spans="1:4" x14ac:dyDescent="0.2">
      <c r="A2555" s="5">
        <v>2494</v>
      </c>
      <c r="B2555" s="138">
        <f>'Acct Summary 7-8'!C8</f>
        <v>915681</v>
      </c>
      <c r="C2555" s="2" t="s">
        <v>592</v>
      </c>
      <c r="D2555" s="2" t="str">
        <f t="shared" si="38"/>
        <v>Error?</v>
      </c>
    </row>
    <row r="2556" spans="1:4" x14ac:dyDescent="0.2">
      <c r="A2556" s="5">
        <v>2495</v>
      </c>
      <c r="B2556" s="138">
        <f>'Acct Summary 7-8'!C12</f>
        <v>549270</v>
      </c>
      <c r="C2556" s="2" t="s">
        <v>592</v>
      </c>
      <c r="D2556" s="2" t="str">
        <f t="shared" si="38"/>
        <v>Error?</v>
      </c>
    </row>
    <row r="2557" spans="1:4" x14ac:dyDescent="0.2">
      <c r="A2557" s="5">
        <v>2496</v>
      </c>
      <c r="B2557" s="138">
        <f>'Acct Summary 7-8'!C13</f>
        <v>291663</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0</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840933</v>
      </c>
      <c r="C2561" s="2" t="s">
        <v>592</v>
      </c>
      <c r="D2561" s="2" t="str">
        <f t="shared" si="39"/>
        <v>Error?</v>
      </c>
    </row>
    <row r="2562" spans="1:4" x14ac:dyDescent="0.2">
      <c r="A2562" s="5">
        <v>2501</v>
      </c>
      <c r="B2562" s="138">
        <f>'Acct Summary 7-8'!C20</f>
        <v>74748</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22781</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22781</v>
      </c>
      <c r="C2568" s="2" t="s">
        <v>592</v>
      </c>
      <c r="D2568" s="2" t="str">
        <f t="shared" si="39"/>
        <v>Error?</v>
      </c>
    </row>
    <row r="2569" spans="1:4" x14ac:dyDescent="0.2">
      <c r="A2569" s="5">
        <v>2508</v>
      </c>
      <c r="B2569" s="138">
        <f>'Acct Summary 7-8'!D13</f>
        <v>19093</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19093</v>
      </c>
      <c r="C2573" s="2" t="s">
        <v>592</v>
      </c>
      <c r="D2573" s="2" t="str">
        <f t="shared" si="39"/>
        <v>Error?</v>
      </c>
    </row>
    <row r="2574" spans="1:4" x14ac:dyDescent="0.2">
      <c r="A2574" s="5">
        <v>2513</v>
      </c>
      <c r="B2574" s="138">
        <f>'Acct Summary 7-8'!D20</f>
        <v>3688</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20038</v>
      </c>
      <c r="C2591" s="2" t="s">
        <v>592</v>
      </c>
      <c r="D2591" s="2" t="str">
        <f t="shared" si="39"/>
        <v>Error?</v>
      </c>
    </row>
    <row r="2592" spans="1:4" x14ac:dyDescent="0.2">
      <c r="A2592" s="10">
        <v>2531</v>
      </c>
      <c r="D2592" s="2" t="str">
        <f t="shared" si="39"/>
        <v>OK</v>
      </c>
    </row>
    <row r="2593" spans="1:4" x14ac:dyDescent="0.2">
      <c r="A2593" s="5">
        <v>2532</v>
      </c>
      <c r="B2593" s="138">
        <f>'Acct Summary 7-8'!F6</f>
        <v>0</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20038</v>
      </c>
      <c r="C2595" s="2" t="s">
        <v>592</v>
      </c>
      <c r="D2595" s="2" t="str">
        <f t="shared" si="39"/>
        <v>Error?</v>
      </c>
    </row>
    <row r="2596" spans="1:4" x14ac:dyDescent="0.2">
      <c r="A2596" s="5">
        <v>2535</v>
      </c>
      <c r="B2596" s="138">
        <f>'Acct Summary 7-8'!F13</f>
        <v>27055</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27055</v>
      </c>
      <c r="C2600" s="2" t="s">
        <v>592</v>
      </c>
      <c r="D2600" s="2" t="str">
        <f t="shared" si="39"/>
        <v>Error?</v>
      </c>
    </row>
    <row r="2601" spans="1:4" x14ac:dyDescent="0.2">
      <c r="A2601" s="5">
        <v>2540</v>
      </c>
      <c r="B2601" s="138">
        <f>'Acct Summary 7-8'!F20</f>
        <v>-7017</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0</v>
      </c>
      <c r="C2606" s="2" t="s">
        <v>592</v>
      </c>
      <c r="D2606" s="2" t="str">
        <f t="shared" si="39"/>
        <v>Error?</v>
      </c>
    </row>
    <row r="2607" spans="1:4" x14ac:dyDescent="0.2">
      <c r="A2607" s="5">
        <v>2546</v>
      </c>
      <c r="B2607" s="138">
        <f>'Acct Summary 7-8'!G12</f>
        <v>0</v>
      </c>
      <c r="C2607" s="2" t="s">
        <v>592</v>
      </c>
      <c r="D2607" s="2" t="str">
        <f t="shared" si="39"/>
        <v>Error?</v>
      </c>
    </row>
    <row r="2608" spans="1:4" x14ac:dyDescent="0.2">
      <c r="A2608" s="5">
        <v>2547</v>
      </c>
      <c r="B2608" s="138">
        <f>'Acct Summary 7-8'!G13</f>
        <v>0</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0</v>
      </c>
      <c r="C2612" s="2" t="s">
        <v>592</v>
      </c>
      <c r="D2612" s="2" t="str">
        <f t="shared" si="39"/>
        <v>Error?</v>
      </c>
    </row>
    <row r="2613" spans="1:4" x14ac:dyDescent="0.2">
      <c r="A2613" s="5">
        <v>2552</v>
      </c>
      <c r="B2613" s="138">
        <f>'Acct Summary 7-8'!G20</f>
        <v>0</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0</v>
      </c>
      <c r="C2634" s="2" t="s">
        <v>592</v>
      </c>
      <c r="D2634" s="2" t="str">
        <f t="shared" si="40"/>
        <v>Error?</v>
      </c>
    </row>
    <row r="2635" spans="1:4" x14ac:dyDescent="0.2">
      <c r="A2635" s="5">
        <v>2574</v>
      </c>
      <c r="B2635" s="138">
        <f>'Acct Summary 7-8'!E17</f>
        <v>0</v>
      </c>
      <c r="C2635" s="2" t="s">
        <v>592</v>
      </c>
      <c r="D2635" s="2" t="str">
        <f t="shared" si="40"/>
        <v>Error?</v>
      </c>
    </row>
    <row r="2636" spans="1:4" x14ac:dyDescent="0.2">
      <c r="A2636" s="5">
        <v>2575</v>
      </c>
      <c r="B2636" s="138">
        <f>'Acct Summary 7-8'!E20</f>
        <v>0</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592</v>
      </c>
      <c r="D2789" s="2" t="str">
        <f t="shared" si="42"/>
        <v>Error?</v>
      </c>
    </row>
    <row r="2790" spans="1:4" x14ac:dyDescent="0.2">
      <c r="A2790" s="5">
        <v>2729</v>
      </c>
      <c r="B2790" s="138">
        <f>'Expenditures 15-22'!E102</f>
        <v>0</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55891</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592</v>
      </c>
      <c r="D2913" s="2" t="str">
        <f t="shared" si="44"/>
        <v>Error?</v>
      </c>
    </row>
    <row r="2914" spans="1:4" x14ac:dyDescent="0.2">
      <c r="A2914" s="5">
        <v>2853</v>
      </c>
      <c r="B2914" s="138">
        <f>'Assets-Liab 5-6'!L33</f>
        <v>55891</v>
      </c>
      <c r="D2914" s="2" t="str">
        <f t="shared" si="44"/>
        <v>Error?</v>
      </c>
    </row>
    <row r="2915" spans="1:4" x14ac:dyDescent="0.2">
      <c r="A2915" s="10">
        <v>2854</v>
      </c>
      <c r="D2915" s="2" t="str">
        <f t="shared" si="44"/>
        <v>OK</v>
      </c>
    </row>
    <row r="2916" spans="1:4" x14ac:dyDescent="0.2">
      <c r="A2916" s="5">
        <v>2855</v>
      </c>
      <c r="B2916" s="138">
        <f>'Assets-Liab 5-6'!L34</f>
        <v>55891</v>
      </c>
      <c r="C2916" s="2" t="s">
        <v>592</v>
      </c>
      <c r="D2916" s="2" t="str">
        <f t="shared" si="44"/>
        <v>Error?</v>
      </c>
    </row>
    <row r="2917" spans="1:4" x14ac:dyDescent="0.2">
      <c r="A2917" s="5">
        <v>2856</v>
      </c>
      <c r="B2917" s="138">
        <f>'Assets-Liab 5-6'!L41</f>
        <v>55891</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0</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592</v>
      </c>
      <c r="D3225" s="2" t="str">
        <f t="shared" si="49"/>
        <v>Error?</v>
      </c>
    </row>
    <row r="3226" spans="1:4" x14ac:dyDescent="0.2">
      <c r="A3226" s="5">
        <v>3165</v>
      </c>
      <c r="B3226" s="138">
        <f>'Acct Summary 7-8'!I8</f>
        <v>0</v>
      </c>
      <c r="C3226" s="2" t="s">
        <v>592</v>
      </c>
      <c r="D3226" s="2" t="str">
        <f t="shared" si="49"/>
        <v>Error?</v>
      </c>
    </row>
    <row r="3227" spans="1:4" x14ac:dyDescent="0.2">
      <c r="A3227" s="5">
        <v>3166</v>
      </c>
      <c r="B3227" s="138">
        <f>'Acct Summary 7-8'!I20</f>
        <v>0</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3688</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7017</v>
      </c>
      <c r="C3231" s="2" t="s">
        <v>592</v>
      </c>
      <c r="D3231" s="2" t="str">
        <f t="shared" si="49"/>
        <v>Error?</v>
      </c>
    </row>
    <row r="3232" spans="1:4" x14ac:dyDescent="0.2">
      <c r="A3232" s="5">
        <v>3171</v>
      </c>
      <c r="B3232" s="138">
        <f>'Acct Summary 7-8'!C77</f>
        <v>-3329</v>
      </c>
      <c r="C3232" s="2" t="s">
        <v>592</v>
      </c>
      <c r="D3232" s="2" t="str">
        <f t="shared" si="49"/>
        <v>Error?</v>
      </c>
    </row>
    <row r="3233" spans="1:4" x14ac:dyDescent="0.2">
      <c r="A3233" s="5">
        <v>3172</v>
      </c>
      <c r="B3233" s="138">
        <f>'Acct Summary 7-8'!C78</f>
        <v>71419</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3688</v>
      </c>
      <c r="C3237" s="2" t="s">
        <v>592</v>
      </c>
      <c r="D3237" s="2" t="str">
        <f t="shared" si="49"/>
        <v>Error?</v>
      </c>
    </row>
    <row r="3238" spans="1:4" x14ac:dyDescent="0.2">
      <c r="A3238" s="5">
        <v>3177</v>
      </c>
      <c r="B3238" s="138">
        <f>'Acct Summary 7-8'!D77</f>
        <v>-3688</v>
      </c>
      <c r="C3238" s="2" t="s">
        <v>592</v>
      </c>
      <c r="D3238" s="2" t="str">
        <f t="shared" si="49"/>
        <v>Error?</v>
      </c>
    </row>
    <row r="3239" spans="1:4" x14ac:dyDescent="0.2">
      <c r="A3239" s="5">
        <v>3178</v>
      </c>
      <c r="B3239" s="138">
        <f>'Acct Summary 7-8'!D78</f>
        <v>0</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7017</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7017</v>
      </c>
      <c r="C3255" s="2" t="s">
        <v>592</v>
      </c>
      <c r="D3255" s="2" t="str">
        <f t="shared" si="49"/>
        <v>Error?</v>
      </c>
    </row>
    <row r="3256" spans="1:4" x14ac:dyDescent="0.2">
      <c r="A3256" s="5">
        <v>3195</v>
      </c>
      <c r="B3256" s="138">
        <f>'Acct Summary 7-8'!F78</f>
        <v>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0</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0</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0</v>
      </c>
      <c r="C3320" s="2" t="s">
        <v>592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592</v>
      </c>
      <c r="D3390" s="2" t="str">
        <f t="shared" si="51"/>
        <v>Error?</v>
      </c>
    </row>
    <row r="3391" spans="1:4" x14ac:dyDescent="0.2">
      <c r="A3391" s="5">
        <v>3330</v>
      </c>
      <c r="B3391" s="138">
        <f>'Expenditures 15-22'!K217</f>
        <v>0</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252262</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398832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55891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0</v>
      </c>
      <c r="C3446" s="2" t="s">
        <v>592</v>
      </c>
      <c r="D3446" s="2" t="str">
        <f t="shared" si="52"/>
        <v>Error?</v>
      </c>
    </row>
    <row r="3447" spans="1:4" x14ac:dyDescent="0.2">
      <c r="A3447" s="5">
        <v>3386</v>
      </c>
      <c r="B3447" s="138">
        <f>'Tax Sched 23'!D16</f>
        <v>0</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592</v>
      </c>
      <c r="D3568" s="2" t="str">
        <f t="shared" si="54"/>
        <v>Error?</v>
      </c>
    </row>
    <row r="3569" spans="1:4" x14ac:dyDescent="0.2">
      <c r="A3569" s="5">
        <v>3508</v>
      </c>
      <c r="B3569" s="138">
        <f>'Acct Summary 7-8'!K4</f>
        <v>0</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0</v>
      </c>
      <c r="C3571" s="2" t="s">
        <v>592</v>
      </c>
      <c r="D3571" s="2" t="str">
        <f t="shared" si="54"/>
        <v>Error?</v>
      </c>
    </row>
    <row r="3572" spans="1:4" x14ac:dyDescent="0.2">
      <c r="A3572" s="5">
        <v>3511</v>
      </c>
      <c r="B3572" s="138">
        <f>'Acct Summary 7-8'!K13</f>
        <v>0</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0</v>
      </c>
      <c r="C3575" s="2" t="s">
        <v>592</v>
      </c>
      <c r="D3575" s="2" t="str">
        <f t="shared" si="54"/>
        <v>Error?</v>
      </c>
    </row>
    <row r="3576" spans="1:4" x14ac:dyDescent="0.2">
      <c r="A3576" s="5">
        <v>3515</v>
      </c>
      <c r="B3576" s="138">
        <f>'Acct Summary 7-8'!K20</f>
        <v>0</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0</v>
      </c>
      <c r="C3588" s="2" t="s">
        <v>592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0</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0</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0</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915681</v>
      </c>
      <c r="C4122" s="2" t="s">
        <v>592</v>
      </c>
      <c r="D4122" s="2" t="str">
        <f t="shared" si="63"/>
        <v>Error?</v>
      </c>
    </row>
    <row r="4123" spans="1:4" x14ac:dyDescent="0.2">
      <c r="A4123" s="5">
        <v>4062</v>
      </c>
      <c r="B4123" s="138">
        <f>'Acct Summary 7-8'!D10</f>
        <v>22781</v>
      </c>
      <c r="C4123" s="2" t="s">
        <v>592</v>
      </c>
      <c r="D4123" s="2" t="str">
        <f t="shared" si="63"/>
        <v>Error?</v>
      </c>
    </row>
    <row r="4124" spans="1:4" x14ac:dyDescent="0.2">
      <c r="A4124" s="5">
        <v>4063</v>
      </c>
      <c r="B4124" s="138">
        <f>'Acct Summary 7-8'!E10</f>
        <v>0</v>
      </c>
      <c r="C4124" s="2" t="s">
        <v>592</v>
      </c>
      <c r="D4124" s="2" t="str">
        <f t="shared" si="63"/>
        <v>Error?</v>
      </c>
    </row>
    <row r="4125" spans="1:4" x14ac:dyDescent="0.2">
      <c r="A4125" s="5">
        <v>4064</v>
      </c>
      <c r="B4125" s="138">
        <f>'Acct Summary 7-8'!F10</f>
        <v>20038</v>
      </c>
      <c r="C4125" s="2" t="s">
        <v>592</v>
      </c>
      <c r="D4125" s="2" t="str">
        <f t="shared" si="63"/>
        <v>Error?</v>
      </c>
    </row>
    <row r="4126" spans="1:4" x14ac:dyDescent="0.2">
      <c r="A4126" s="5">
        <v>4065</v>
      </c>
      <c r="B4126" s="138">
        <f>'Acct Summary 7-8'!G10</f>
        <v>0</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0</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0</v>
      </c>
      <c r="C4130" s="2" t="s">
        <v>592</v>
      </c>
      <c r="D4130" s="2" t="str">
        <f t="shared" si="63"/>
        <v>Error?</v>
      </c>
    </row>
    <row r="4131" spans="1:4" x14ac:dyDescent="0.2">
      <c r="A4131" s="5">
        <v>4070</v>
      </c>
      <c r="B4131" s="138">
        <f>'Acct Summary 7-8'!C18</f>
        <v>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840933</v>
      </c>
      <c r="C4136" s="2" t="s">
        <v>592</v>
      </c>
      <c r="D4136" s="2" t="str">
        <f t="shared" si="63"/>
        <v>Error?</v>
      </c>
    </row>
    <row r="4137" spans="1:4" x14ac:dyDescent="0.2">
      <c r="A4137" s="5">
        <v>4076</v>
      </c>
      <c r="B4137" s="138">
        <f>'Acct Summary 7-8'!D19</f>
        <v>19093</v>
      </c>
      <c r="C4137" s="2" t="s">
        <v>592</v>
      </c>
      <c r="D4137" s="2" t="str">
        <f t="shared" si="63"/>
        <v>Error?</v>
      </c>
    </row>
    <row r="4138" spans="1:4" x14ac:dyDescent="0.2">
      <c r="A4138" s="5">
        <v>4077</v>
      </c>
      <c r="B4138" s="138">
        <f>'Acct Summary 7-8'!E19</f>
        <v>0</v>
      </c>
      <c r="C4138" s="2" t="s">
        <v>592</v>
      </c>
      <c r="D4138" s="2" t="str">
        <f t="shared" si="63"/>
        <v>Error?</v>
      </c>
    </row>
    <row r="4139" spans="1:4" x14ac:dyDescent="0.2">
      <c r="A4139" s="5">
        <v>4078</v>
      </c>
      <c r="B4139" s="138">
        <f>'Acct Summary 7-8'!F19</f>
        <v>27055</v>
      </c>
      <c r="C4139" s="2" t="s">
        <v>592</v>
      </c>
      <c r="D4139" s="2" t="str">
        <f t="shared" si="63"/>
        <v>Error?</v>
      </c>
    </row>
    <row r="4140" spans="1:4" x14ac:dyDescent="0.2">
      <c r="A4140" s="5">
        <v>4079</v>
      </c>
      <c r="B4140" s="138">
        <f>'Acct Summary 7-8'!G19</f>
        <v>0</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0</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0</v>
      </c>
      <c r="C4171" s="2" t="s">
        <v>592</v>
      </c>
      <c r="D4171" s="2" t="str">
        <f t="shared" si="64"/>
        <v>Error?</v>
      </c>
    </row>
    <row r="4172" spans="1:4" x14ac:dyDescent="0.2">
      <c r="A4172" s="5">
        <v>4111</v>
      </c>
      <c r="B4172" s="138">
        <f>'Short-Term Long-Term Debt 24'!J49</f>
        <v>0</v>
      </c>
      <c r="C4172" s="2" t="s">
        <v>592</v>
      </c>
      <c r="D4172" s="2" t="str">
        <f t="shared" si="64"/>
        <v>Error?</v>
      </c>
    </row>
    <row r="4173" spans="1:4" x14ac:dyDescent="0.2">
      <c r="A4173" s="5">
        <v>4112</v>
      </c>
      <c r="B4173" s="138">
        <f>'Short-Term Long-Term Debt 24'!H49</f>
        <v>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592</v>
      </c>
      <c r="D4265" s="2" t="str">
        <f t="shared" si="65"/>
        <v>Error?</v>
      </c>
      <c r="E4265" s="128"/>
    </row>
    <row r="4266" spans="1:5" x14ac:dyDescent="0.2">
      <c r="A4266" s="12">
        <v>4205</v>
      </c>
      <c r="B4266" s="138">
        <f>('FP Info 3'!F10)*100000</f>
        <v>0</v>
      </c>
      <c r="C4266" s="2" t="s">
        <v>592</v>
      </c>
      <c r="D4266" s="2" t="str">
        <f t="shared" si="65"/>
        <v>Error?</v>
      </c>
      <c r="E4266" s="128"/>
    </row>
    <row r="4267" spans="1:5" x14ac:dyDescent="0.2">
      <c r="A4267" s="12">
        <v>4206</v>
      </c>
      <c r="B4267" s="138">
        <f>('FP Info 3'!H10)*100000</f>
        <v>0</v>
      </c>
      <c r="C4267" s="2" t="s">
        <v>592</v>
      </c>
      <c r="D4267" s="2" t="str">
        <f t="shared" si="65"/>
        <v>Error?</v>
      </c>
      <c r="E4267" s="128"/>
    </row>
    <row r="4268" spans="1:5" x14ac:dyDescent="0.2">
      <c r="A4268" s="12">
        <v>4207</v>
      </c>
      <c r="B4268" s="138">
        <f>('FP Info 3'!J10)*100000</f>
        <v>0</v>
      </c>
      <c r="C4268" s="2" t="s">
        <v>592</v>
      </c>
      <c r="D4268" s="2" t="str">
        <f t="shared" si="65"/>
        <v>Error?</v>
      </c>
    </row>
    <row r="4269" spans="1:5" x14ac:dyDescent="0.2">
      <c r="A4269" s="12">
        <v>4208</v>
      </c>
      <c r="B4269" s="138">
        <f>'FP Info 3'!J16</f>
        <v>398701</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3688</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7017</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7017</v>
      </c>
      <c r="D5022" s="2" t="str">
        <f t="shared" si="77"/>
        <v>Error?</v>
      </c>
    </row>
    <row r="5023" spans="1:4" x14ac:dyDescent="0.2">
      <c r="A5023" s="5">
        <v>4962</v>
      </c>
      <c r="B5023" s="138">
        <f>'Acct Summary 7-8'!D49</f>
        <v>3688</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663432</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663432</v>
      </c>
      <c r="C5087" s="2" t="s">
        <v>592</v>
      </c>
      <c r="D5087" s="2" t="str">
        <f t="shared" si="78"/>
        <v>Error?</v>
      </c>
    </row>
    <row r="5088" spans="1:4" x14ac:dyDescent="0.2">
      <c r="A5088" s="5">
        <v>5027</v>
      </c>
      <c r="B5088" s="138">
        <f>'Revenues 9-14'!C65</f>
        <v>-13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592</v>
      </c>
      <c r="D5120" s="2" t="str">
        <f t="shared" si="79"/>
        <v>Error?</v>
      </c>
    </row>
    <row r="5121" spans="1:4" x14ac:dyDescent="0.2">
      <c r="A5121" s="5">
        <v>5060</v>
      </c>
      <c r="B5121" s="138">
        <f>'Revenues 9-14'!C109</f>
        <v>663419</v>
      </c>
      <c r="C5121" s="2" t="s">
        <v>592</v>
      </c>
      <c r="D5121" s="2" t="str">
        <f t="shared" si="79"/>
        <v>Error?</v>
      </c>
    </row>
    <row r="5122" spans="1:4" x14ac:dyDescent="0.2">
      <c r="A5122" s="5">
        <v>5061</v>
      </c>
      <c r="B5122" s="138">
        <f>'Revenues 9-14'!C111</f>
        <v>252262</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252262</v>
      </c>
      <c r="C5125" s="2" t="s">
        <v>592</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0</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0</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592</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592</v>
      </c>
      <c r="D5326" s="2" t="str">
        <f t="shared" si="82"/>
        <v>Error?</v>
      </c>
    </row>
    <row r="5327" spans="1:4" x14ac:dyDescent="0.2">
      <c r="A5327" s="5">
        <v>5266</v>
      </c>
      <c r="B5327" s="138">
        <f>'Revenues 9-14'!C275</f>
        <v>915681</v>
      </c>
      <c r="C5327" s="2" t="s">
        <v>592</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22781</v>
      </c>
      <c r="D5354" s="2" t="str">
        <f t="shared" si="82"/>
        <v>Error?</v>
      </c>
    </row>
    <row r="5355" spans="1:4" x14ac:dyDescent="0.2">
      <c r="A5355" s="5">
        <v>5294</v>
      </c>
      <c r="B5355" s="138">
        <f>'Revenues 9-14'!D108</f>
        <v>22781</v>
      </c>
      <c r="C5355" s="2" t="s">
        <v>592</v>
      </c>
      <c r="D5355" s="2" t="str">
        <f t="shared" si="82"/>
        <v>Error?</v>
      </c>
    </row>
    <row r="5356" spans="1:4" x14ac:dyDescent="0.2">
      <c r="A5356" s="5">
        <v>5295</v>
      </c>
      <c r="B5356" s="138">
        <f>'Revenues 9-14'!D109</f>
        <v>22781</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22781</v>
      </c>
      <c r="C5508" s="2" t="s">
        <v>592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20038</v>
      </c>
      <c r="D5586" s="2" t="str">
        <f t="shared" si="86"/>
        <v>Error?</v>
      </c>
    </row>
    <row r="5587" spans="1:4" x14ac:dyDescent="0.2">
      <c r="A5587" s="5">
        <v>5526</v>
      </c>
      <c r="B5587" s="138">
        <f>'Revenues 9-14'!F108</f>
        <v>20038</v>
      </c>
      <c r="C5587" s="2" t="s">
        <v>592</v>
      </c>
      <c r="D5587" s="2" t="str">
        <f t="shared" si="86"/>
        <v>Error?</v>
      </c>
    </row>
    <row r="5588" spans="1:4" x14ac:dyDescent="0.2">
      <c r="A5588" s="5">
        <v>5527</v>
      </c>
      <c r="B5588" s="138">
        <f>'Revenues 9-14'!F109</f>
        <v>20038</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20038</v>
      </c>
      <c r="C5720" s="2" t="s">
        <v>592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0</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0</v>
      </c>
      <c r="C6023" s="2" t="s">
        <v>592</v>
      </c>
      <c r="D6023" s="2" t="str">
        <f t="shared" si="93"/>
        <v>Error?</v>
      </c>
    </row>
    <row r="6024" spans="1:5" x14ac:dyDescent="0.2">
      <c r="A6024" s="5">
        <v>5963</v>
      </c>
      <c r="B6024" s="138">
        <f>'Revenues 9-14'!G109</f>
        <v>0</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0</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0</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0</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0</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131</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71419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0.17912922214892865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36220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0</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42578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7" customHeight="1" x14ac:dyDescent="0.2">
      <c r="A2" s="2400" t="s">
        <v>1251</v>
      </c>
      <c r="B2" s="2400"/>
      <c r="C2" s="2400"/>
      <c r="D2" s="2400"/>
      <c r="E2" s="2400"/>
      <c r="F2" s="2400"/>
      <c r="G2" s="2400"/>
      <c r="H2" s="2400"/>
      <c r="I2" s="2400"/>
      <c r="J2" s="2400"/>
      <c r="K2" s="2400"/>
      <c r="L2" s="2400"/>
    </row>
    <row r="3" spans="1:29" ht="13.7" customHeight="1" x14ac:dyDescent="0.2">
      <c r="A3" s="2431" t="s">
        <v>1250</v>
      </c>
      <c r="B3" s="2431"/>
      <c r="C3" s="2431"/>
      <c r="D3" s="2431"/>
      <c r="E3" s="2431"/>
      <c r="F3" s="2431"/>
      <c r="G3" s="2431"/>
      <c r="H3" s="2431"/>
      <c r="I3" s="2431"/>
      <c r="J3" s="2431"/>
      <c r="K3" s="2431"/>
      <c r="L3" s="2431"/>
    </row>
    <row r="4" spans="1:29" ht="13.7" customHeight="1" x14ac:dyDescent="0.2">
      <c r="A4" s="2400" t="s">
        <v>1797</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7"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22" t="str">
        <f>COVER!A17</f>
        <v>Collinsville Area Vocational Center</v>
      </c>
      <c r="B7" s="2423"/>
      <c r="C7" s="2423"/>
      <c r="D7" s="2424"/>
      <c r="E7" s="2425">
        <f>COVER!A13</f>
        <v>41057010041</v>
      </c>
      <c r="F7" s="2426"/>
      <c r="G7" s="2432" t="str">
        <f>COVER!T23</f>
        <v>065-023270</v>
      </c>
      <c r="H7" s="2433"/>
      <c r="I7" s="2433"/>
      <c r="J7" s="2433"/>
      <c r="K7" s="2433"/>
      <c r="L7" s="2434"/>
    </row>
    <row r="8" spans="1:29" ht="13.7" customHeight="1" x14ac:dyDescent="0.2">
      <c r="A8" s="1185" t="s">
        <v>1595</v>
      </c>
      <c r="B8" s="1186"/>
      <c r="C8" s="1187"/>
      <c r="D8" s="1187"/>
      <c r="E8" s="1192"/>
      <c r="F8" s="1191"/>
      <c r="G8" s="1193" t="s">
        <v>1246</v>
      </c>
      <c r="H8" s="1194"/>
      <c r="I8" s="1194"/>
      <c r="J8" s="1194"/>
      <c r="K8" s="1194"/>
      <c r="L8" s="1195"/>
    </row>
    <row r="9" spans="1:29" ht="13.7" customHeight="1" x14ac:dyDescent="0.2">
      <c r="A9" s="2435"/>
      <c r="B9" s="2436"/>
      <c r="C9" s="2436"/>
      <c r="D9" s="2436"/>
      <c r="E9" s="2436"/>
      <c r="F9" s="2437"/>
      <c r="G9" s="2406" t="str">
        <f>COVER!T13</f>
        <v>Schowalter &amp; Jabouri, P.C.</v>
      </c>
      <c r="H9" s="2438"/>
      <c r="I9" s="2438"/>
      <c r="J9" s="2438"/>
      <c r="K9" s="2438"/>
      <c r="L9" s="2439"/>
    </row>
    <row r="10" spans="1:29" ht="13.7" customHeight="1" x14ac:dyDescent="0.2">
      <c r="A10" s="2412" t="str">
        <f>COVER!A38</f>
        <v>Dr. Robert E Green</v>
      </c>
      <c r="B10" s="2413"/>
      <c r="C10" s="2413"/>
      <c r="D10" s="2413"/>
      <c r="E10" s="2413"/>
      <c r="F10" s="2414"/>
      <c r="G10" s="2406" t="str">
        <f>COVER!T17</f>
        <v>11878 Gravois Road</v>
      </c>
      <c r="H10" s="2407"/>
      <c r="I10" s="2407"/>
      <c r="J10" s="2407"/>
      <c r="K10" s="2407"/>
      <c r="L10" s="2408"/>
    </row>
    <row r="11" spans="1:29" ht="13.7" customHeight="1" x14ac:dyDescent="0.2">
      <c r="A11" s="1185" t="s">
        <v>1597</v>
      </c>
      <c r="B11" s="1186"/>
      <c r="C11" s="1187"/>
      <c r="D11" s="1192"/>
      <c r="E11" s="1187"/>
      <c r="F11" s="1191"/>
      <c r="G11" s="2406" t="str">
        <f>COVER!T19</f>
        <v>St. Louis</v>
      </c>
      <c r="H11" s="2407"/>
      <c r="I11" s="2407"/>
      <c r="J11" s="2407"/>
      <c r="K11" s="2407"/>
      <c r="L11" s="2408"/>
    </row>
    <row r="12" spans="1:29" ht="13.7" customHeight="1" x14ac:dyDescent="0.2">
      <c r="A12" s="2415" t="s">
        <v>1596</v>
      </c>
      <c r="B12" s="2416"/>
      <c r="C12" s="2416"/>
      <c r="D12" s="2416"/>
      <c r="E12" s="2416"/>
      <c r="F12" s="2417"/>
      <c r="G12" s="2409"/>
      <c r="H12" s="2410"/>
      <c r="I12" s="2410"/>
      <c r="J12" s="2410"/>
      <c r="K12" s="2410"/>
      <c r="L12" s="2411"/>
    </row>
    <row r="13" spans="1:29" ht="13.7" customHeight="1" x14ac:dyDescent="0.2">
      <c r="A13" s="2406"/>
      <c r="B13" s="2407"/>
      <c r="C13" s="2407"/>
      <c r="D13" s="2407"/>
      <c r="E13" s="2407"/>
      <c r="F13" s="2408"/>
      <c r="G13" s="2401" t="s">
        <v>1598</v>
      </c>
      <c r="H13" s="2402"/>
      <c r="I13" s="2418" t="str">
        <f>COVER!T25</f>
        <v>jtorti@sjcpa.com</v>
      </c>
      <c r="J13" s="2419"/>
      <c r="K13" s="2419"/>
      <c r="L13" s="2420"/>
    </row>
    <row r="14" spans="1:29" ht="13.7" customHeight="1" x14ac:dyDescent="0.2">
      <c r="A14" s="2406" t="str">
        <f>COVER!A19</f>
        <v>2201 South Madison</v>
      </c>
      <c r="B14" s="2407"/>
      <c r="C14" s="2407"/>
      <c r="D14" s="2407"/>
      <c r="E14" s="2407"/>
      <c r="F14" s="2408"/>
      <c r="G14" s="1196" t="s">
        <v>1245</v>
      </c>
      <c r="H14" s="1194"/>
      <c r="I14" s="1194"/>
      <c r="J14" s="1194"/>
      <c r="K14" s="1194"/>
      <c r="L14" s="1195"/>
    </row>
    <row r="15" spans="1:29" ht="13.7" customHeight="1" x14ac:dyDescent="0.2">
      <c r="A15" s="2406" t="str">
        <f>COVER!A21</f>
        <v>Collinsville</v>
      </c>
      <c r="B15" s="2407"/>
      <c r="C15" s="2407"/>
      <c r="D15" s="2407"/>
      <c r="E15" s="2407"/>
      <c r="F15" s="2408"/>
      <c r="G15" s="2403" t="str">
        <f>COVER!T15</f>
        <v>James K Torti, CPA, CFE</v>
      </c>
      <c r="H15" s="2404"/>
      <c r="I15" s="2404"/>
      <c r="J15" s="2404"/>
      <c r="K15" s="2404"/>
      <c r="L15" s="2405"/>
    </row>
    <row r="16" spans="1:29" ht="12.2" customHeight="1" x14ac:dyDescent="0.2">
      <c r="A16" s="2428">
        <f>COVER!A25</f>
        <v>62234</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1244</v>
      </c>
      <c r="H17" s="1194"/>
      <c r="I17" s="1194"/>
      <c r="J17" s="1194"/>
      <c r="K17" s="1198" t="s">
        <v>1243</v>
      </c>
      <c r="L17" s="1191"/>
      <c r="M17" s="1184"/>
    </row>
    <row r="18" spans="1:13" ht="12.2" customHeight="1" x14ac:dyDescent="0.2">
      <c r="A18" s="2412"/>
      <c r="B18" s="2413"/>
      <c r="C18" s="2413"/>
      <c r="D18" s="2413"/>
      <c r="E18" s="2413"/>
      <c r="F18" s="2414"/>
      <c r="G18" s="2422" t="str">
        <f>COVER!T21</f>
        <v>314-849-4999</v>
      </c>
      <c r="H18" s="2423"/>
      <c r="I18" s="2423"/>
      <c r="J18" s="2423"/>
      <c r="K18" s="2422" t="str">
        <f>COVER!X21</f>
        <v>314-849-3486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7"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7" customHeight="1" x14ac:dyDescent="0.2">
      <c r="B40" s="1202"/>
      <c r="C40" s="1203" t="s">
        <v>1646</v>
      </c>
    </row>
    <row r="41" spans="1:8" ht="9" customHeight="1" x14ac:dyDescent="0.2">
      <c r="A41" s="1208"/>
      <c r="B41" s="1204"/>
      <c r="C41" s="1207"/>
    </row>
    <row r="42" spans="1:8" s="1199" customFormat="1" ht="13.7"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7"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Collinsville Area Vocational Center</v>
      </c>
      <c r="B1" s="2421"/>
      <c r="C1" s="2421"/>
      <c r="D1" s="2421"/>
    </row>
    <row r="2" spans="1:11" s="1215" customFormat="1" ht="12.75" x14ac:dyDescent="0.2">
      <c r="A2" s="2445">
        <f>'Single Audit Cover'!E7</f>
        <v>41057010041</v>
      </c>
      <c r="B2" s="2446"/>
      <c r="C2" s="2446"/>
      <c r="D2" s="2446"/>
    </row>
    <row r="3" spans="1:11" s="1215" customFormat="1" ht="12.75" x14ac:dyDescent="0.2">
      <c r="A3" s="2444" t="s">
        <v>1591</v>
      </c>
      <c r="B3" s="2421"/>
      <c r="C3" s="2421"/>
      <c r="D3" s="2421"/>
    </row>
    <row r="4" spans="1:11" s="1215" customFormat="1" ht="4.7"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7" customHeight="1" x14ac:dyDescent="0.2">
      <c r="B8" s="1219"/>
      <c r="C8" s="1220"/>
      <c r="D8" s="1221"/>
    </row>
    <row r="9" spans="1:11" x14ac:dyDescent="0.2">
      <c r="B9" s="1223" t="s">
        <v>1284</v>
      </c>
      <c r="C9" s="1224"/>
      <c r="D9" s="1221"/>
    </row>
    <row r="10" spans="1:11" ht="4.7"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9499999999999993"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7"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7" customHeight="1" x14ac:dyDescent="0.2">
      <c r="A93" s="1222"/>
      <c r="D93" s="1221"/>
    </row>
    <row r="94" spans="1:4" x14ac:dyDescent="0.2">
      <c r="A94" s="1222"/>
      <c r="B94" s="1223" t="s">
        <v>1657</v>
      </c>
      <c r="C94" s="1224"/>
      <c r="D94" s="1221"/>
    </row>
    <row r="95" spans="1:4" ht="4.7"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7" customHeight="1" x14ac:dyDescent="0.2">
      <c r="A103" s="1222"/>
      <c r="B103" s="312"/>
      <c r="C103" s="1226"/>
      <c r="D103" s="1237"/>
    </row>
    <row r="104" spans="1:4" ht="14.1" customHeight="1" x14ac:dyDescent="0.2">
      <c r="A104" s="1222"/>
      <c r="B104" s="1253" t="s">
        <v>1259</v>
      </c>
    </row>
    <row r="105" spans="1:4" ht="4.7"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1252</v>
      </c>
    </row>
    <row r="125" spans="1:4" ht="4.7"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42578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Collinsville Area Vocational Center</v>
      </c>
      <c r="B1" s="2448"/>
      <c r="C1" s="2448"/>
      <c r="D1" s="2448"/>
      <c r="E1" s="2448"/>
    </row>
    <row r="2" spans="1:5" x14ac:dyDescent="0.2">
      <c r="A2" s="2449">
        <f>'Single Audit Cover'!E7</f>
        <v>41057010041</v>
      </c>
      <c r="B2" s="2449"/>
      <c r="C2" s="2449"/>
      <c r="D2" s="2449"/>
      <c r="E2" s="2449"/>
    </row>
    <row r="3" spans="1:5" ht="4.7" customHeight="1" x14ac:dyDescent="0.2"/>
    <row r="4" spans="1:5" x14ac:dyDescent="0.2">
      <c r="A4" s="2448" t="s">
        <v>1305</v>
      </c>
      <c r="B4" s="2448"/>
      <c r="C4" s="2448"/>
      <c r="D4" s="2448"/>
      <c r="E4" s="2448"/>
    </row>
    <row r="5" spans="1:5" x14ac:dyDescent="0.2">
      <c r="A5" s="2451" t="str">
        <f>'Single Audit Cover'!A4</f>
        <v>Year Ending June 30, 2018</v>
      </c>
      <c r="B5" s="2451"/>
      <c r="C5" s="2451"/>
      <c r="D5" s="2451"/>
      <c r="E5" s="2451"/>
    </row>
    <row r="6" spans="1:5" x14ac:dyDescent="0.2">
      <c r="A6" s="2448" t="s">
        <v>1304</v>
      </c>
      <c r="B6" s="2448"/>
      <c r="C6" s="2448"/>
      <c r="D6" s="2448"/>
      <c r="E6" s="2448"/>
    </row>
    <row r="8" spans="1:5" x14ac:dyDescent="0.2">
      <c r="A8" s="1260" t="s">
        <v>1303</v>
      </c>
    </row>
    <row r="10" spans="1:5" x14ac:dyDescent="0.2">
      <c r="A10" s="1261" t="s">
        <v>1302</v>
      </c>
      <c r="B10" s="1262" t="s">
        <v>1301</v>
      </c>
      <c r="C10" s="1262"/>
      <c r="D10" s="1263">
        <f>SUM('Acct Summary 7-8'!C7:K7)</f>
        <v>0</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1599</v>
      </c>
      <c r="B17" s="1262" t="s">
        <v>1296</v>
      </c>
      <c r="C17" s="1262"/>
      <c r="D17" s="1264">
        <f>-SUM('Revenues 9-14'!C271:D271,'Revenues 9-14'!F271:G271)</f>
        <v>0</v>
      </c>
    </row>
    <row r="19" spans="1:4" ht="13.5" thickBot="1" x14ac:dyDescent="0.25">
      <c r="A19" s="1265" t="s">
        <v>1295</v>
      </c>
      <c r="D19" s="1266">
        <f>SUM(D10:D17)</f>
        <v>0</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1293</v>
      </c>
      <c r="D32" s="1263">
        <f>SUM(D19:D30)</f>
        <v>0</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5" customHeight="1" x14ac:dyDescent="0.2">
      <c r="A39" s="1267" t="s">
        <v>1288</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1287</v>
      </c>
      <c r="C47" s="1272"/>
      <c r="D47" s="1273">
        <f>SUM(D35:D45)</f>
        <v>0</v>
      </c>
    </row>
    <row r="49" spans="2:4" x14ac:dyDescent="0.2">
      <c r="B49" s="1272" t="s">
        <v>1286</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42578125" style="317" customWidth="1"/>
    <col min="6" max="6" width="2.7109375" style="317" customWidth="1"/>
    <col min="7" max="7" width="3.28515625" style="317" customWidth="1"/>
    <col min="8" max="16384" width="8" style="317"/>
  </cols>
  <sheetData>
    <row r="1" spans="1:7" ht="13.7" customHeight="1" x14ac:dyDescent="0.2">
      <c r="A1" s="2461" t="str">
        <f>'Single Audit Cover'!A7</f>
        <v>Collinsville Area Vocational Center</v>
      </c>
      <c r="B1" s="2461"/>
      <c r="C1" s="2461"/>
      <c r="D1" s="2461"/>
      <c r="E1" s="2461"/>
      <c r="F1" s="2461"/>
    </row>
    <row r="2" spans="1:7" ht="13.7" customHeight="1" x14ac:dyDescent="0.2">
      <c r="A2" s="2462">
        <f>'Single Audit Cover'!E7</f>
        <v>41057010041</v>
      </c>
      <c r="B2" s="2462"/>
      <c r="C2" s="2462"/>
      <c r="D2" s="2462"/>
      <c r="E2" s="2462"/>
      <c r="F2" s="2462"/>
      <c r="G2" s="1275"/>
    </row>
    <row r="3" spans="1:7" ht="15.75" customHeight="1" x14ac:dyDescent="0.2">
      <c r="A3" s="2463" t="s">
        <v>1331</v>
      </c>
      <c r="B3" s="2463"/>
      <c r="C3" s="2463"/>
      <c r="D3" s="2463"/>
      <c r="E3" s="2463"/>
      <c r="F3" s="2463"/>
    </row>
    <row r="4" spans="1:7" ht="13.7" customHeight="1" x14ac:dyDescent="0.2">
      <c r="A4" s="2464" t="str">
        <f>'Single Audit Cover'!A4</f>
        <v>Year Ending June 30, 2018</v>
      </c>
      <c r="B4" s="2464"/>
      <c r="C4" s="2464"/>
      <c r="D4" s="2464"/>
      <c r="E4" s="2464"/>
      <c r="F4" s="2464"/>
    </row>
    <row r="5" spans="1:7" ht="8.25" customHeight="1" x14ac:dyDescent="0.2">
      <c r="C5" s="317"/>
      <c r="D5" s="317"/>
    </row>
    <row r="6" spans="1:7" ht="13.7" customHeight="1" x14ac:dyDescent="0.2">
      <c r="A6" s="1276" t="s">
        <v>1829</v>
      </c>
      <c r="C6" s="317"/>
      <c r="D6" s="317"/>
    </row>
    <row r="7" spans="1:7" ht="60.95" customHeight="1" x14ac:dyDescent="0.2">
      <c r="A7" s="2460" t="s">
        <v>1830</v>
      </c>
      <c r="B7" s="2460"/>
      <c r="C7" s="2460"/>
      <c r="D7" s="2460"/>
      <c r="E7" s="2460"/>
      <c r="F7" s="246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60" t="s">
        <v>1832</v>
      </c>
      <c r="B13" s="2460"/>
      <c r="C13" s="2460"/>
      <c r="D13" s="2460"/>
      <c r="E13" s="2460"/>
      <c r="F13" s="2460"/>
    </row>
    <row r="14" spans="1:7" ht="9.9499999999999993" customHeight="1" x14ac:dyDescent="0.2">
      <c r="C14" s="1260"/>
      <c r="D14" s="1260"/>
    </row>
    <row r="15" spans="1:7" ht="13.7" customHeight="1" x14ac:dyDescent="0.2">
      <c r="C15" s="1871" t="s">
        <v>1330</v>
      </c>
      <c r="D15" s="2458" t="s">
        <v>1329</v>
      </c>
      <c r="E15" s="2458"/>
      <c r="F15" s="2458"/>
    </row>
    <row r="16" spans="1:7" ht="13.7" customHeight="1" x14ac:dyDescent="0.2">
      <c r="A16" s="1282"/>
      <c r="B16" s="1276" t="s">
        <v>1328</v>
      </c>
      <c r="C16" s="1871" t="s">
        <v>1327</v>
      </c>
      <c r="D16" s="2459" t="s">
        <v>1668</v>
      </c>
      <c r="E16" s="2459"/>
      <c r="F16" s="2459"/>
    </row>
    <row r="17" spans="1:6" ht="20.45" customHeight="1" x14ac:dyDescent="0.2">
      <c r="A17" s="1283"/>
      <c r="B17" s="1284"/>
      <c r="C17" s="1285"/>
      <c r="D17" s="2453"/>
      <c r="E17" s="2453"/>
      <c r="F17" s="2453"/>
    </row>
    <row r="18" spans="1:6" ht="20.85" customHeight="1" x14ac:dyDescent="0.2">
      <c r="A18" s="1283"/>
      <c r="B18" s="1284"/>
      <c r="C18" s="1285"/>
      <c r="D18" s="2453"/>
      <c r="E18" s="2453"/>
      <c r="F18" s="2453"/>
    </row>
    <row r="19" spans="1:6" ht="20.85" customHeight="1" x14ac:dyDescent="0.2">
      <c r="A19" s="1283"/>
      <c r="B19" s="1284"/>
      <c r="C19" s="1285"/>
      <c r="D19" s="2453"/>
      <c r="E19" s="2453"/>
      <c r="F19" s="2453"/>
    </row>
    <row r="20" spans="1:6" ht="20.85" customHeight="1" x14ac:dyDescent="0.2">
      <c r="A20" s="1283"/>
      <c r="B20" s="1284"/>
      <c r="C20" s="1285"/>
      <c r="D20" s="2453"/>
      <c r="E20" s="2453"/>
      <c r="F20" s="2453"/>
    </row>
    <row r="21" spans="1:6" ht="20.85" customHeight="1" x14ac:dyDescent="0.2">
      <c r="A21" s="1283"/>
      <c r="B21" s="1284"/>
      <c r="C21" s="1285"/>
      <c r="D21" s="2453"/>
      <c r="E21" s="2453"/>
      <c r="F21" s="2453"/>
    </row>
    <row r="22" spans="1:6" ht="20.85" customHeight="1" x14ac:dyDescent="0.2">
      <c r="A22" s="1283"/>
      <c r="B22" s="1284"/>
      <c r="C22" s="1285"/>
      <c r="D22" s="2453"/>
      <c r="E22" s="2453"/>
      <c r="F22" s="2453"/>
    </row>
    <row r="23" spans="1:6" ht="20.85" customHeight="1" x14ac:dyDescent="0.2">
      <c r="A23" s="1283"/>
      <c r="B23" s="1284"/>
      <c r="C23" s="1285"/>
      <c r="D23" s="2453"/>
      <c r="E23" s="2453"/>
      <c r="F23" s="2453"/>
    </row>
    <row r="24" spans="1:6" ht="20.85" customHeight="1" x14ac:dyDescent="0.2">
      <c r="A24" s="1283"/>
      <c r="B24" s="1284"/>
      <c r="C24" s="1285"/>
      <c r="D24" s="2453"/>
      <c r="E24" s="2453"/>
      <c r="F24" s="2453"/>
    </row>
    <row r="25" spans="1:6" ht="20.85" customHeight="1" x14ac:dyDescent="0.2">
      <c r="A25" s="1283"/>
      <c r="B25" s="1284"/>
      <c r="C25" s="1285"/>
      <c r="D25" s="2453"/>
      <c r="E25" s="2453"/>
      <c r="F25" s="2453"/>
    </row>
    <row r="26" spans="1:6" ht="20.85" customHeight="1" x14ac:dyDescent="0.2">
      <c r="A26" s="1283"/>
      <c r="B26" s="1284"/>
      <c r="C26" s="1285"/>
      <c r="D26" s="2453"/>
      <c r="E26" s="2453"/>
      <c r="F26" s="2453"/>
    </row>
    <row r="27" spans="1:6" ht="20.85" customHeight="1" x14ac:dyDescent="0.2">
      <c r="A27" s="1283"/>
      <c r="B27" s="1284"/>
      <c r="C27" s="1285"/>
      <c r="D27" s="2453"/>
      <c r="E27" s="2453"/>
      <c r="F27" s="2453"/>
    </row>
    <row r="28" spans="1:6" ht="20.85" customHeight="1" x14ac:dyDescent="0.2">
      <c r="A28" s="1283"/>
      <c r="B28" s="1284"/>
      <c r="C28" s="1285"/>
      <c r="D28" s="2453"/>
      <c r="E28" s="2453"/>
      <c r="F28" s="2453"/>
    </row>
    <row r="29" spans="1:6" ht="20.8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54" t="s">
        <v>1833</v>
      </c>
      <c r="B32" s="2454"/>
      <c r="C32" s="2454"/>
      <c r="D32" s="2454"/>
      <c r="E32" s="2454"/>
      <c r="F32" s="2454"/>
    </row>
    <row r="33" spans="1:6" ht="13.7" customHeight="1" x14ac:dyDescent="0.2">
      <c r="A33" s="328" t="s">
        <v>1507</v>
      </c>
      <c r="B33" s="328"/>
      <c r="C33" s="1288">
        <v>0</v>
      </c>
      <c r="D33" s="1928"/>
      <c r="E33" s="1286"/>
    </row>
    <row r="34" spans="1:6" ht="13.7" customHeight="1" x14ac:dyDescent="0.2">
      <c r="A34" s="328" t="s">
        <v>1946</v>
      </c>
      <c r="B34" s="328"/>
      <c r="C34" s="1289">
        <v>0</v>
      </c>
      <c r="D34" s="1928" t="s">
        <v>1669</v>
      </c>
      <c r="E34" s="2455">
        <f>+C33+C34</f>
        <v>0</v>
      </c>
      <c r="F34" s="2456"/>
    </row>
    <row r="35" spans="1:6" ht="12" customHeight="1" x14ac:dyDescent="0.2">
      <c r="A35" s="328"/>
      <c r="B35" s="328"/>
      <c r="C35" s="1929"/>
      <c r="D35" s="1928"/>
      <c r="E35" s="1290"/>
      <c r="F35" s="1291"/>
    </row>
    <row r="36" spans="1:6" ht="13.7"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7"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1670</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1630</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42578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42578125" style="317"/>
  </cols>
  <sheetData>
    <row r="1" spans="2:14" ht="11.85" customHeight="1" x14ac:dyDescent="0.2">
      <c r="B1" s="2431" t="str">
        <f>'Single Audit Cover'!A7</f>
        <v>Collinsville Area Vocational Center</v>
      </c>
      <c r="C1" s="2465"/>
      <c r="D1" s="2465"/>
      <c r="E1" s="2465"/>
      <c r="F1" s="2465"/>
      <c r="G1" s="2465"/>
      <c r="H1" s="2465"/>
      <c r="I1" s="2465"/>
      <c r="J1" s="2465"/>
      <c r="K1" s="2465"/>
      <c r="L1" s="2465"/>
      <c r="M1" s="2465"/>
    </row>
    <row r="2" spans="2:14" ht="15" x14ac:dyDescent="0.2">
      <c r="B2" s="2462">
        <f>'Single Audit Cover'!E7</f>
        <v>41057010041</v>
      </c>
      <c r="C2" s="2462"/>
      <c r="D2" s="2462"/>
      <c r="E2" s="2462"/>
      <c r="F2" s="2462"/>
      <c r="G2" s="2462"/>
      <c r="H2" s="2462"/>
      <c r="I2" s="2462"/>
      <c r="J2" s="2462"/>
      <c r="K2" s="2462"/>
      <c r="L2" s="2462"/>
      <c r="M2" s="2462"/>
      <c r="N2" s="1302"/>
    </row>
    <row r="3" spans="2:14" ht="15" x14ac:dyDescent="0.2">
      <c r="B3" s="2466" t="s">
        <v>1279</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1947</v>
      </c>
      <c r="K8" s="1319" t="s">
        <v>1321</v>
      </c>
      <c r="L8" s="1320" t="s">
        <v>1317</v>
      </c>
      <c r="M8" s="1321" t="s">
        <v>30</v>
      </c>
    </row>
    <row r="9" spans="2:14" ht="14.25" x14ac:dyDescent="0.2">
      <c r="B9" s="1325" t="s">
        <v>1319</v>
      </c>
      <c r="C9" s="1313" t="s">
        <v>1836</v>
      </c>
      <c r="D9" s="1314" t="s">
        <v>1837</v>
      </c>
      <c r="E9" s="1322" t="s">
        <v>1661</v>
      </c>
      <c r="F9" s="1323" t="s">
        <v>1947</v>
      </c>
      <c r="G9" s="1324" t="s">
        <v>1661</v>
      </c>
      <c r="H9" s="1317" t="s">
        <v>1662</v>
      </c>
      <c r="I9" s="1319" t="s">
        <v>1947</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7"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7" customHeight="1" x14ac:dyDescent="0.2">
      <c r="B34" s="1276" t="s">
        <v>1306</v>
      </c>
      <c r="G34" s="317"/>
      <c r="H34" s="317"/>
      <c r="I34" s="317"/>
      <c r="J34" s="317"/>
    </row>
    <row r="35" spans="2:13" ht="13.7"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7" customHeight="1" x14ac:dyDescent="0.2">
      <c r="M49" s="1373"/>
    </row>
    <row r="50" spans="7:13" ht="13.7" customHeight="1" x14ac:dyDescent="0.2">
      <c r="M50" s="1373"/>
    </row>
    <row r="51" spans="7:13" ht="13.7" customHeight="1" x14ac:dyDescent="0.2">
      <c r="M51" s="1373"/>
    </row>
    <row r="52" spans="7:13" ht="13.7" customHeight="1" x14ac:dyDescent="0.2">
      <c r="G52" s="317"/>
      <c r="H52" s="317"/>
      <c r="I52" s="317"/>
      <c r="J52" s="317"/>
    </row>
    <row r="53" spans="7:13" ht="13.7" customHeight="1" x14ac:dyDescent="0.2">
      <c r="G53" s="317"/>
      <c r="H53" s="317"/>
      <c r="I53" s="317"/>
      <c r="J53" s="317"/>
    </row>
    <row r="54" spans="7:13" ht="13.7" customHeight="1" x14ac:dyDescent="0.2">
      <c r="G54" s="317"/>
      <c r="H54" s="317"/>
      <c r="I54" s="317"/>
      <c r="J54" s="317"/>
    </row>
    <row r="55" spans="7:13" ht="13.7" customHeight="1" x14ac:dyDescent="0.2">
      <c r="G55" s="317"/>
      <c r="H55" s="317"/>
      <c r="I55" s="317"/>
      <c r="J55" s="317"/>
    </row>
    <row r="56" spans="7:13" ht="13.7" customHeight="1" x14ac:dyDescent="0.2">
      <c r="G56" s="317"/>
      <c r="H56" s="317"/>
      <c r="I56" s="317"/>
      <c r="J56" s="317"/>
    </row>
    <row r="57" spans="7:13" ht="13.7" customHeight="1" x14ac:dyDescent="0.2">
      <c r="G57" s="317"/>
      <c r="H57" s="317"/>
      <c r="I57" s="317"/>
      <c r="J57" s="317"/>
    </row>
    <row r="58" spans="7:13" ht="13.7" customHeight="1" x14ac:dyDescent="0.2">
      <c r="G58" s="317"/>
      <c r="H58" s="317"/>
      <c r="I58" s="317"/>
      <c r="J58" s="317"/>
    </row>
    <row r="59" spans="7:13" ht="13.7" customHeight="1" x14ac:dyDescent="0.2"/>
    <row r="60" spans="7:13" ht="13.7" customHeight="1" x14ac:dyDescent="0.2"/>
    <row r="61" spans="7:13" ht="13.7"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7" customHeight="1" x14ac:dyDescent="0.2"/>
    <row r="75" ht="13.7" customHeight="1" x14ac:dyDescent="0.2"/>
    <row r="76" ht="13.7" customHeight="1" x14ac:dyDescent="0.2"/>
    <row r="77" ht="13.7" customHeight="1" x14ac:dyDescent="0.2"/>
    <row r="78" ht="13.7" customHeight="1" x14ac:dyDescent="0.2"/>
    <row r="79" ht="13.7" customHeight="1" x14ac:dyDescent="0.2"/>
    <row r="80"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4.7" customHeight="1" x14ac:dyDescent="0.2"/>
    <row r="112" ht="12.2"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42578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42578125" style="317" customWidth="1"/>
    <col min="13" max="16384" width="9.140625" style="317"/>
  </cols>
  <sheetData>
    <row r="1" spans="2:10" s="317" customFormat="1" ht="12.75" customHeight="1" x14ac:dyDescent="0.2">
      <c r="B1" s="2479" t="str">
        <f>'Single Audit Cover'!A7</f>
        <v>Collinsville Area Vocational Center</v>
      </c>
      <c r="C1" s="2480"/>
      <c r="D1" s="2480"/>
      <c r="E1" s="2480"/>
      <c r="F1" s="2480"/>
      <c r="G1" s="2480"/>
      <c r="H1" s="2480"/>
      <c r="I1" s="2480"/>
      <c r="J1" s="1422"/>
    </row>
    <row r="2" spans="2:10" s="317" customFormat="1" ht="12.75" customHeight="1" x14ac:dyDescent="0.2">
      <c r="B2" s="2481">
        <f>'Single Audit Cover'!E7</f>
        <v>41057010041</v>
      </c>
      <c r="C2" s="2482"/>
      <c r="D2" s="2482"/>
      <c r="E2" s="2482"/>
      <c r="F2" s="2482"/>
      <c r="G2" s="2482"/>
      <c r="H2" s="2482"/>
      <c r="I2" s="2482"/>
      <c r="J2" s="1422"/>
    </row>
    <row r="3" spans="2:10" s="317" customFormat="1" ht="12.75" customHeight="1" x14ac:dyDescent="0.2">
      <c r="B3" s="2483" t="s">
        <v>1345</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4" customHeight="1" x14ac:dyDescent="0.2">
      <c r="B5" s="1424" t="s">
        <v>1229</v>
      </c>
      <c r="C5" s="1294"/>
      <c r="D5" s="1294"/>
      <c r="E5" s="1383"/>
      <c r="F5" s="322"/>
      <c r="G5" s="322"/>
      <c r="H5" s="322"/>
      <c r="I5" s="322"/>
    </row>
    <row r="6" spans="2:10" s="317" customFormat="1" ht="6.4" customHeight="1" x14ac:dyDescent="0.2">
      <c r="B6" s="1425"/>
      <c r="C6" s="1379"/>
      <c r="D6" s="1379"/>
      <c r="E6" s="1380"/>
      <c r="F6" s="1379"/>
      <c r="G6" s="1379"/>
      <c r="H6" s="1379"/>
      <c r="I6" s="1379"/>
    </row>
    <row r="7" spans="2:10" s="317" customFormat="1" ht="13.7" customHeight="1" x14ac:dyDescent="0.2">
      <c r="B7" s="2483" t="s">
        <v>1344</v>
      </c>
      <c r="C7" s="2484"/>
      <c r="D7" s="2484"/>
      <c r="E7" s="2484"/>
      <c r="F7" s="2484"/>
      <c r="G7" s="2484"/>
      <c r="H7" s="2484"/>
      <c r="I7" s="2484"/>
    </row>
    <row r="8" spans="2:10" s="317" customFormat="1" ht="6.4"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7" customHeight="1" x14ac:dyDescent="0.2">
      <c r="B11" s="1349" t="s">
        <v>1342</v>
      </c>
      <c r="C11" s="2485"/>
      <c r="D11" s="2485"/>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7"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7"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7"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7"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7"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86"/>
      <c r="E29" s="2486"/>
      <c r="F29" s="2486"/>
      <c r="G29" s="2486"/>
      <c r="H29" s="2486"/>
      <c r="I29" s="2486"/>
    </row>
    <row r="30" spans="2:9" s="317" customFormat="1" x14ac:dyDescent="0.2">
      <c r="B30" s="1368"/>
      <c r="C30" s="322"/>
      <c r="D30" s="1433" t="s">
        <v>1849</v>
      </c>
      <c r="E30" s="1434"/>
      <c r="F30" s="1434"/>
      <c r="G30" s="1434"/>
      <c r="H30" s="1434"/>
      <c r="I30" s="1434"/>
    </row>
    <row r="31" spans="2:9" s="317" customFormat="1" ht="10.15" customHeight="1" x14ac:dyDescent="0.2">
      <c r="B31" s="1368"/>
      <c r="E31" s="1258"/>
    </row>
    <row r="32" spans="2:9" s="317" customFormat="1" x14ac:dyDescent="0.2">
      <c r="B32" s="1368" t="s">
        <v>1334</v>
      </c>
      <c r="C32" s="1282"/>
      <c r="E32" s="1258"/>
    </row>
    <row r="33" spans="2:9" ht="13.7"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7" t="s">
        <v>1852</v>
      </c>
      <c r="D37" s="2488"/>
      <c r="E37" s="2488"/>
      <c r="F37" s="2489"/>
      <c r="G37" s="2487" t="s">
        <v>1672</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1673</v>
      </c>
      <c r="D43" s="2469"/>
      <c r="E43" s="2469"/>
      <c r="F43" s="2470"/>
      <c r="G43" s="2471">
        <f>SUM(G38:I42)</f>
        <v>0</v>
      </c>
      <c r="H43" s="2471"/>
      <c r="I43" s="2471"/>
    </row>
    <row r="44" spans="2:9" ht="12.75" customHeight="1" x14ac:dyDescent="0.2"/>
    <row r="45" spans="2:9" ht="12.75" customHeight="1" x14ac:dyDescent="0.2">
      <c r="B45" s="1435" t="s">
        <v>1949</v>
      </c>
      <c r="D45" s="2472">
        <v>0</v>
      </c>
      <c r="E45" s="2473"/>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10.15" customHeight="1" x14ac:dyDescent="0.2"/>
    <row r="49" spans="1:9" x14ac:dyDescent="0.2">
      <c r="B49" s="1368" t="s">
        <v>1333</v>
      </c>
      <c r="C49" s="1282"/>
      <c r="D49" s="1282"/>
      <c r="E49" s="2474"/>
      <c r="F49" s="2474"/>
      <c r="G49" s="2474"/>
      <c r="H49" s="322"/>
    </row>
    <row r="51" spans="1:9" ht="13.7"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7" customHeight="1" x14ac:dyDescent="0.2">
      <c r="A58" s="1458"/>
      <c r="B58" s="1463" t="s">
        <v>1854</v>
      </c>
      <c r="C58" s="1464"/>
      <c r="D58" s="1464"/>
    </row>
    <row r="59" spans="1:9" s="1461" customFormat="1" ht="3.95" customHeight="1" x14ac:dyDescent="0.2">
      <c r="A59" s="1458"/>
      <c r="B59" s="1463"/>
      <c r="C59" s="1464"/>
      <c r="D59" s="1464"/>
    </row>
    <row r="60" spans="1:9" s="1461" customFormat="1" ht="13.7"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7" customHeight="1" x14ac:dyDescent="0.2">
      <c r="A63" s="1458"/>
      <c r="B63" s="1462" t="s">
        <v>1677</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42578125" style="317" customWidth="1"/>
    <col min="2" max="2" width="21.42578125" style="317" customWidth="1"/>
    <col min="3" max="3" width="6.140625" style="317" customWidth="1"/>
    <col min="4" max="4" width="4.42578125" style="317" customWidth="1"/>
    <col min="5" max="5" width="3.42578125" style="317" customWidth="1"/>
    <col min="6" max="6" width="20.140625" style="317" customWidth="1"/>
    <col min="7" max="7" width="3.42578125" style="1258" customWidth="1"/>
    <col min="8" max="8" width="10.42578125" style="317" customWidth="1"/>
    <col min="9" max="9" width="3.42578125" style="1258"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Collinsville Area Vocational Center</v>
      </c>
      <c r="C1" s="2479"/>
      <c r="D1" s="2479"/>
      <c r="E1" s="2479"/>
      <c r="F1" s="2479"/>
      <c r="G1" s="2479"/>
      <c r="H1" s="2479"/>
      <c r="I1" s="2479"/>
      <c r="J1" s="2479"/>
      <c r="K1" s="2479"/>
      <c r="L1" s="1374"/>
      <c r="M1" s="1374"/>
    </row>
    <row r="2" spans="1:13" ht="12" customHeight="1" x14ac:dyDescent="0.2">
      <c r="B2" s="2481">
        <f>'Single Audit Cover'!E7</f>
        <v>41057010041</v>
      </c>
      <c r="C2" s="2481"/>
      <c r="D2" s="2481"/>
      <c r="E2" s="2481"/>
      <c r="F2" s="2481"/>
      <c r="G2" s="2481"/>
      <c r="H2" s="2481"/>
      <c r="I2" s="2481"/>
      <c r="J2" s="2481"/>
      <c r="K2" s="2481"/>
      <c r="L2" s="1375"/>
      <c r="M2" s="1376"/>
    </row>
    <row r="3" spans="1:13" ht="10.35" customHeight="1" x14ac:dyDescent="0.2">
      <c r="B3" s="2495" t="s">
        <v>1345</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1361</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c r="E10" s="322"/>
      <c r="F10" s="1387" t="s">
        <v>1360</v>
      </c>
      <c r="G10" s="1388"/>
      <c r="H10" s="1389" t="s">
        <v>1359</v>
      </c>
      <c r="I10" s="1388"/>
      <c r="J10" s="1390" t="s">
        <v>1358</v>
      </c>
      <c r="K10" s="322"/>
      <c r="L10" s="1381"/>
    </row>
    <row r="11" spans="1:13" ht="13.7" customHeight="1" x14ac:dyDescent="0.2">
      <c r="B11" s="322"/>
      <c r="C11" s="322"/>
      <c r="D11" s="322"/>
      <c r="E11" s="322"/>
      <c r="F11" s="322"/>
      <c r="G11" s="1383"/>
      <c r="H11" s="322"/>
      <c r="I11" s="1391" t="s">
        <v>1357</v>
      </c>
      <c r="J11" s="322"/>
      <c r="K11" s="1392"/>
      <c r="L11" s="1381"/>
    </row>
    <row r="12" spans="1:13" ht="13.7" customHeight="1" x14ac:dyDescent="0.2">
      <c r="B12" s="1294"/>
      <c r="C12" s="1294"/>
      <c r="D12" s="322"/>
      <c r="E12" s="322"/>
      <c r="F12" s="322"/>
      <c r="G12" s="1383"/>
      <c r="H12" s="322"/>
      <c r="I12" s="1383"/>
      <c r="J12" s="322"/>
      <c r="L12" s="1381"/>
    </row>
    <row r="13" spans="1:13" s="1282" customFormat="1" ht="13.7" customHeight="1" x14ac:dyDescent="0.2">
      <c r="B13" s="1393" t="s">
        <v>1356</v>
      </c>
      <c r="C13" s="1393"/>
      <c r="D13" s="1394"/>
      <c r="E13" s="1394"/>
      <c r="F13" s="1394"/>
      <c r="G13" s="1395"/>
      <c r="H13" s="1394"/>
      <c r="I13" s="1395"/>
      <c r="J13" s="1394"/>
      <c r="K13" s="1394"/>
      <c r="L13" s="1396"/>
    </row>
    <row r="14" spans="1:13" ht="45.95" customHeight="1" x14ac:dyDescent="0.2">
      <c r="B14" s="2494"/>
      <c r="C14" s="2494"/>
      <c r="D14" s="2494"/>
      <c r="E14" s="2494"/>
      <c r="F14" s="2494"/>
      <c r="G14" s="2494"/>
      <c r="H14" s="2494"/>
      <c r="I14" s="2494"/>
      <c r="J14" s="2494"/>
      <c r="K14" s="2494"/>
      <c r="L14" s="1397"/>
    </row>
    <row r="15" spans="1:13" ht="4.7" customHeight="1" x14ac:dyDescent="0.2">
      <c r="B15" s="1398"/>
      <c r="C15" s="1398"/>
      <c r="D15" s="1399"/>
      <c r="E15" s="1399"/>
      <c r="F15" s="1399"/>
      <c r="H15" s="1399"/>
      <c r="J15" s="1399"/>
      <c r="K15" s="1399"/>
      <c r="L15" s="1397"/>
    </row>
    <row r="16" spans="1:13" s="1282" customFormat="1" ht="13.7" customHeight="1" x14ac:dyDescent="0.2">
      <c r="B16" s="1393" t="s">
        <v>1355</v>
      </c>
      <c r="C16" s="1393"/>
      <c r="D16" s="1394"/>
      <c r="E16" s="1394"/>
      <c r="F16" s="1394"/>
      <c r="G16" s="1395"/>
      <c r="H16" s="1394"/>
      <c r="I16" s="1395"/>
      <c r="J16" s="1394"/>
      <c r="K16" s="1394"/>
      <c r="L16" s="1396"/>
    </row>
    <row r="17" spans="2:12" ht="45.95" customHeight="1" x14ac:dyDescent="0.2">
      <c r="B17" s="2494"/>
      <c r="C17" s="2494"/>
      <c r="D17" s="2494"/>
      <c r="E17" s="2494"/>
      <c r="F17" s="2494"/>
      <c r="G17" s="2494"/>
      <c r="H17" s="2494"/>
      <c r="I17" s="2494"/>
      <c r="J17" s="2494"/>
      <c r="K17" s="2494"/>
      <c r="L17" s="1381"/>
    </row>
    <row r="18" spans="2:12" ht="4.7" customHeight="1" x14ac:dyDescent="0.2">
      <c r="B18" s="1398"/>
      <c r="C18" s="1398"/>
      <c r="L18" s="1381"/>
    </row>
    <row r="19" spans="2:12" s="1282" customFormat="1" ht="13.7" customHeight="1" x14ac:dyDescent="0.2">
      <c r="B19" s="1393" t="s">
        <v>1844</v>
      </c>
      <c r="C19" s="1393"/>
      <c r="D19" s="1394"/>
      <c r="E19" s="1394"/>
      <c r="F19" s="1394"/>
      <c r="G19" s="1395"/>
      <c r="H19" s="1394"/>
      <c r="I19" s="1395"/>
      <c r="J19" s="1394"/>
      <c r="K19" s="1394"/>
      <c r="L19" s="1396"/>
    </row>
    <row r="20" spans="2:12" ht="45.95" customHeight="1" x14ac:dyDescent="0.2">
      <c r="B20" s="2498"/>
      <c r="C20" s="2498"/>
      <c r="D20" s="2494"/>
      <c r="E20" s="2494"/>
      <c r="F20" s="2494"/>
      <c r="G20" s="2494"/>
      <c r="H20" s="2494"/>
      <c r="I20" s="2494"/>
      <c r="J20" s="2494"/>
      <c r="K20" s="2494"/>
      <c r="L20" s="1381"/>
    </row>
    <row r="21" spans="2:12" ht="4.7" customHeight="1" x14ac:dyDescent="0.2">
      <c r="B21" s="1400"/>
      <c r="C21" s="1400"/>
      <c r="L21" s="1381"/>
    </row>
    <row r="22" spans="2:12" ht="13.7" customHeight="1" x14ac:dyDescent="0.2">
      <c r="B22" s="1393" t="s">
        <v>1354</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7" customHeight="1" x14ac:dyDescent="0.2">
      <c r="B24" s="1398"/>
      <c r="C24" s="1398"/>
      <c r="L24" s="1381"/>
    </row>
    <row r="25" spans="2:12" ht="13.7" customHeight="1" x14ac:dyDescent="0.2">
      <c r="B25" s="1393" t="s">
        <v>1353</v>
      </c>
      <c r="C25" s="1393"/>
      <c r="D25" s="1379"/>
      <c r="E25" s="1379"/>
      <c r="F25" s="1379"/>
      <c r="G25" s="1380"/>
      <c r="H25" s="1379"/>
      <c r="I25" s="1380"/>
      <c r="J25" s="1379"/>
      <c r="K25" s="1379"/>
      <c r="L25" s="1381"/>
    </row>
    <row r="26" spans="2:12" ht="45.95" customHeight="1" x14ac:dyDescent="0.2">
      <c r="B26" s="2494"/>
      <c r="C26" s="2494"/>
      <c r="D26" s="2494"/>
      <c r="E26" s="2494"/>
      <c r="F26" s="2494"/>
      <c r="G26" s="2494"/>
      <c r="H26" s="2494"/>
      <c r="I26" s="2494"/>
      <c r="J26" s="2494"/>
      <c r="K26" s="2494"/>
      <c r="L26" s="1381"/>
    </row>
    <row r="27" spans="2:12" ht="4.7" customHeight="1" x14ac:dyDescent="0.2">
      <c r="B27" s="1398"/>
      <c r="C27" s="1398"/>
      <c r="L27" s="1381"/>
    </row>
    <row r="28" spans="2:12" ht="13.7" customHeight="1" x14ac:dyDescent="0.2">
      <c r="B28" s="1401" t="s">
        <v>1352</v>
      </c>
      <c r="C28" s="1401"/>
      <c r="D28" s="1379"/>
      <c r="E28" s="1379"/>
      <c r="F28" s="1379"/>
      <c r="G28" s="1380"/>
      <c r="H28" s="1379"/>
      <c r="I28" s="1380"/>
      <c r="J28" s="1379"/>
      <c r="K28" s="1379"/>
      <c r="L28" s="1381"/>
    </row>
    <row r="29" spans="2:12" ht="45.95" customHeight="1" x14ac:dyDescent="0.2">
      <c r="B29" s="2493"/>
      <c r="C29" s="2493"/>
      <c r="D29" s="2494"/>
      <c r="E29" s="2494"/>
      <c r="F29" s="2494"/>
      <c r="G29" s="2494"/>
      <c r="H29" s="2494"/>
      <c r="I29" s="2494"/>
      <c r="J29" s="2494"/>
      <c r="K29" s="2494"/>
      <c r="L29" s="1381"/>
    </row>
    <row r="30" spans="2:12" ht="4.7" customHeight="1" x14ac:dyDescent="0.2">
      <c r="B30" s="1402"/>
      <c r="C30" s="1402"/>
      <c r="D30" s="322"/>
      <c r="E30" s="322"/>
      <c r="F30" s="322"/>
      <c r="G30" s="1383"/>
      <c r="H30" s="322"/>
      <c r="I30" s="1383"/>
      <c r="J30" s="322"/>
      <c r="K30" s="322"/>
      <c r="L30" s="1381"/>
    </row>
    <row r="31" spans="2:12" s="322" customFormat="1" ht="13.7" customHeight="1" x14ac:dyDescent="0.2">
      <c r="B31" s="1403" t="s">
        <v>1845</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7"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42578125" style="317" customWidth="1"/>
    <col min="2" max="2" width="21.42578125" style="317" customWidth="1"/>
    <col min="3" max="3" width="6.140625" style="317" customWidth="1"/>
    <col min="4" max="4" width="4.7109375" style="317" customWidth="1"/>
    <col min="5" max="5" width="3.42578125" style="317" customWidth="1"/>
    <col min="6" max="6" width="20.140625" style="317" customWidth="1"/>
    <col min="7" max="7" width="3.42578125" style="1258" customWidth="1"/>
    <col min="8" max="8" width="10.42578125" style="317" customWidth="1"/>
    <col min="9" max="9" width="3.42578125" style="1258"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2" ht="12.75" customHeight="1" x14ac:dyDescent="0.2">
      <c r="B1" s="2502" t="str">
        <f>'Single Audit Cover'!A7</f>
        <v>Collinsville Area Vocational Center</v>
      </c>
      <c r="C1" s="2502"/>
      <c r="D1" s="2502"/>
      <c r="E1" s="2502"/>
      <c r="F1" s="2502"/>
      <c r="G1" s="2502"/>
      <c r="H1" s="2502"/>
      <c r="I1" s="2502"/>
      <c r="J1" s="2502"/>
      <c r="K1" s="2502"/>
      <c r="L1" s="1465"/>
    </row>
    <row r="2" spans="1:12" ht="12.75" customHeight="1" x14ac:dyDescent="0.2">
      <c r="B2" s="2503">
        <f>'Single Audit Cover'!E7</f>
        <v>41057010041</v>
      </c>
      <c r="C2" s="2503"/>
      <c r="D2" s="2503"/>
      <c r="E2" s="2503"/>
      <c r="F2" s="2503"/>
      <c r="G2" s="2503"/>
      <c r="H2" s="2503"/>
      <c r="I2" s="2503"/>
      <c r="J2" s="2503"/>
      <c r="K2" s="2503"/>
      <c r="L2" s="1466"/>
    </row>
    <row r="3" spans="1:12" ht="12.75" customHeight="1" x14ac:dyDescent="0.2">
      <c r="B3" s="2495" t="s">
        <v>1345</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1229</v>
      </c>
      <c r="C5" s="1260"/>
      <c r="L5" s="322"/>
    </row>
    <row r="6" spans="1:12" ht="30.75" customHeight="1" x14ac:dyDescent="0.2">
      <c r="A6" s="322"/>
      <c r="B6" s="2504" t="s">
        <v>1373</v>
      </c>
      <c r="C6" s="2504"/>
      <c r="D6" s="2504"/>
      <c r="E6" s="2504"/>
      <c r="F6" s="2504"/>
      <c r="G6" s="2504"/>
      <c r="H6" s="2504"/>
      <c r="I6" s="2504"/>
      <c r="J6" s="2504"/>
      <c r="K6" s="2504"/>
      <c r="L6" s="322"/>
    </row>
    <row r="7" spans="1:12" ht="4.7" customHeight="1" x14ac:dyDescent="0.2">
      <c r="B7" s="1379"/>
      <c r="C7" s="1379"/>
      <c r="D7" s="1379"/>
      <c r="E7" s="1379"/>
      <c r="F7" s="1379"/>
      <c r="G7" s="1380"/>
      <c r="H7" s="1379"/>
      <c r="I7" s="1380"/>
      <c r="J7" s="1379"/>
      <c r="K7" s="1379"/>
      <c r="L7" s="322"/>
    </row>
    <row r="8" spans="1:12" ht="13.7" customHeight="1" x14ac:dyDescent="0.2">
      <c r="B8" s="1387" t="s">
        <v>1857</v>
      </c>
      <c r="C8" s="1467" t="s">
        <v>1950</v>
      </c>
      <c r="D8" s="1468"/>
      <c r="E8" s="322"/>
      <c r="F8" s="1384" t="s">
        <v>1360</v>
      </c>
      <c r="G8" s="1469"/>
      <c r="H8" s="1470" t="s">
        <v>1372</v>
      </c>
      <c r="I8" s="1469"/>
      <c r="J8" s="1471" t="s">
        <v>1371</v>
      </c>
      <c r="L8" s="322"/>
    </row>
    <row r="9" spans="1:12" ht="13.7" customHeight="1" x14ac:dyDescent="0.2">
      <c r="D9" s="322"/>
      <c r="E9" s="322"/>
      <c r="F9" s="322"/>
      <c r="G9" s="1383"/>
      <c r="H9" s="322"/>
      <c r="I9" s="1472" t="s">
        <v>1357</v>
      </c>
      <c r="J9" s="322"/>
      <c r="K9" s="1473"/>
      <c r="L9" s="322"/>
    </row>
    <row r="10" spans="1:12" ht="4.7"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7" customHeight="1" x14ac:dyDescent="0.2">
      <c r="B12" s="1384" t="s">
        <v>1370</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7" customHeight="1" x14ac:dyDescent="0.2">
      <c r="B14" s="1387" t="s">
        <v>1369</v>
      </c>
      <c r="C14" s="1387"/>
      <c r="D14" s="2499"/>
      <c r="E14" s="2499"/>
      <c r="F14" s="2499"/>
      <c r="H14" s="1475" t="s">
        <v>1368</v>
      </c>
      <c r="I14" s="2500"/>
      <c r="J14" s="2500"/>
      <c r="K14" s="2500"/>
      <c r="L14" s="322"/>
    </row>
    <row r="15" spans="1:12" ht="9.4" customHeight="1" x14ac:dyDescent="0.2">
      <c r="B15" s="1387"/>
      <c r="C15" s="1387"/>
      <c r="D15" s="1373"/>
      <c r="E15" s="1260"/>
      <c r="F15" s="1260"/>
      <c r="G15" s="1286"/>
      <c r="H15" s="1260"/>
      <c r="I15" s="1476"/>
      <c r="J15" s="1294"/>
      <c r="K15" s="1291"/>
      <c r="L15" s="322"/>
    </row>
    <row r="16" spans="1:12" ht="13.7" customHeight="1" x14ac:dyDescent="0.2">
      <c r="B16" s="1387" t="s">
        <v>1367</v>
      </c>
      <c r="C16" s="1387"/>
      <c r="D16" s="2500"/>
      <c r="E16" s="2500"/>
      <c r="F16" s="2500"/>
      <c r="G16" s="2500"/>
      <c r="H16" s="2500"/>
      <c r="I16" s="2500"/>
      <c r="J16" s="2500"/>
      <c r="K16" s="2500"/>
      <c r="L16" s="322"/>
    </row>
    <row r="17" spans="2:12" ht="13.7" customHeight="1" x14ac:dyDescent="0.2">
      <c r="B17" s="1387" t="s">
        <v>1366</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7" customHeight="1" x14ac:dyDescent="0.2">
      <c r="B19" s="1477" t="s">
        <v>1365</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7" customHeight="1" x14ac:dyDescent="0.2">
      <c r="B21" s="1479"/>
      <c r="C21" s="1479"/>
      <c r="D21" s="1480"/>
      <c r="E21" s="1480"/>
      <c r="F21" s="1480"/>
      <c r="G21" s="1428"/>
      <c r="H21" s="1480"/>
      <c r="I21" s="1428"/>
      <c r="J21" s="1480"/>
      <c r="K21" s="1480"/>
      <c r="L21" s="1432"/>
    </row>
    <row r="22" spans="2:12" ht="13.5" customHeight="1" x14ac:dyDescent="0.2">
      <c r="B22" s="1477" t="s">
        <v>1858</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7" customHeight="1" x14ac:dyDescent="0.2">
      <c r="B24" s="1479"/>
      <c r="C24" s="1479"/>
      <c r="D24" s="1427"/>
      <c r="E24" s="1427"/>
      <c r="F24" s="1427"/>
      <c r="G24" s="1428"/>
      <c r="H24" s="1427"/>
      <c r="I24" s="1428"/>
      <c r="J24" s="1427"/>
      <c r="K24" s="1427"/>
      <c r="L24" s="322"/>
    </row>
    <row r="25" spans="2:12" ht="13.7" customHeight="1" x14ac:dyDescent="0.2">
      <c r="B25" s="1477" t="s">
        <v>1859</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7" customHeight="1" x14ac:dyDescent="0.2">
      <c r="B27" s="1481"/>
      <c r="C27" s="1481"/>
      <c r="D27" s="1481"/>
      <c r="E27" s="1427"/>
      <c r="F27" s="1427"/>
      <c r="G27" s="1428"/>
      <c r="H27" s="1427"/>
      <c r="I27" s="1428"/>
      <c r="J27" s="1427"/>
      <c r="K27" s="1427"/>
      <c r="L27" s="322"/>
    </row>
    <row r="28" spans="2:12" ht="13.7" customHeight="1" x14ac:dyDescent="0.2">
      <c r="B28" s="1477" t="s">
        <v>1860</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7" customHeight="1" x14ac:dyDescent="0.2">
      <c r="B30" s="1479"/>
      <c r="C30" s="1479"/>
      <c r="D30" s="1427"/>
      <c r="E30" s="1427"/>
      <c r="F30" s="1427"/>
      <c r="G30" s="1428"/>
      <c r="H30" s="1427"/>
      <c r="I30" s="1428"/>
      <c r="J30" s="1427"/>
      <c r="K30" s="1427"/>
      <c r="L30" s="322"/>
    </row>
    <row r="31" spans="2:12" ht="13.7" customHeight="1" x14ac:dyDescent="0.2">
      <c r="B31" s="1477" t="s">
        <v>1364</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7" customHeight="1" x14ac:dyDescent="0.2">
      <c r="B33" s="1479"/>
      <c r="C33" s="1479"/>
      <c r="D33" s="1427"/>
      <c r="E33" s="1427"/>
      <c r="F33" s="1427"/>
      <c r="G33" s="1428"/>
      <c r="H33" s="1427"/>
      <c r="I33" s="1428"/>
      <c r="J33" s="1427"/>
      <c r="K33" s="1427"/>
      <c r="L33" s="322"/>
    </row>
    <row r="34" spans="2:12" ht="13.7" customHeight="1" x14ac:dyDescent="0.2">
      <c r="B34" s="1384" t="s">
        <v>1363</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7" customHeight="1" x14ac:dyDescent="0.2">
      <c r="B36" s="1479"/>
      <c r="C36" s="1479"/>
      <c r="D36" s="1427"/>
      <c r="E36" s="1427"/>
      <c r="F36" s="1427"/>
      <c r="G36" s="1428"/>
      <c r="H36" s="1427"/>
      <c r="I36" s="1428"/>
      <c r="J36" s="1427"/>
      <c r="K36" s="1427"/>
      <c r="L36" s="322"/>
    </row>
    <row r="37" spans="2:12" ht="13.7" customHeight="1" x14ac:dyDescent="0.2">
      <c r="B37" s="1384" t="s">
        <v>1362</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7" customHeight="1" x14ac:dyDescent="0.2">
      <c r="B39" s="1402"/>
      <c r="C39" s="1402"/>
      <c r="D39" s="322"/>
      <c r="E39" s="322"/>
      <c r="F39" s="322"/>
      <c r="G39" s="1383"/>
      <c r="H39" s="322"/>
      <c r="I39" s="1383"/>
      <c r="J39" s="322"/>
      <c r="K39" s="322"/>
      <c r="L39" s="322"/>
    </row>
    <row r="40" spans="2:12" s="322" customFormat="1" ht="13.7" customHeight="1" x14ac:dyDescent="0.2">
      <c r="B40" s="1403" t="s">
        <v>1861</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7" customHeight="1" x14ac:dyDescent="0.2">
      <c r="B42" s="1402"/>
      <c r="C42" s="1402"/>
      <c r="G42" s="1383"/>
      <c r="I42" s="1383"/>
    </row>
    <row r="43" spans="2:12" s="322" customFormat="1" ht="13.7" customHeight="1" x14ac:dyDescent="0.2">
      <c r="B43" s="1482" t="s">
        <v>1351</v>
      </c>
      <c r="C43" s="1483"/>
      <c r="D43" s="1404"/>
      <c r="E43" s="1404"/>
      <c r="F43" s="1404"/>
      <c r="G43" s="1405"/>
      <c r="H43" s="1404"/>
      <c r="I43" s="1405"/>
      <c r="J43" s="1404"/>
      <c r="K43" s="1406"/>
      <c r="L43" s="1484"/>
    </row>
    <row r="44" spans="2:12" s="322" customFormat="1" ht="13.7" customHeight="1" x14ac:dyDescent="0.2">
      <c r="B44" s="1407" t="s">
        <v>1350</v>
      </c>
      <c r="C44" s="1408"/>
      <c r="D44" s="1485"/>
      <c r="E44" s="1409"/>
      <c r="F44" s="1413" t="s">
        <v>1349</v>
      </c>
      <c r="G44" s="1411"/>
      <c r="H44" s="1410"/>
      <c r="I44" s="1411"/>
      <c r="J44" s="1486"/>
      <c r="K44" s="1487"/>
      <c r="L44" s="1484"/>
    </row>
    <row r="45" spans="2:12" s="322" customFormat="1" ht="13.7" customHeight="1" x14ac:dyDescent="0.2">
      <c r="B45" s="1407" t="s">
        <v>1348</v>
      </c>
      <c r="C45" s="1408"/>
      <c r="D45" s="1486"/>
      <c r="E45" s="1410"/>
      <c r="F45" s="1413" t="s">
        <v>1347</v>
      </c>
      <c r="G45" s="1411"/>
      <c r="H45" s="1410"/>
      <c r="I45" s="1411"/>
      <c r="J45" s="1486"/>
      <c r="K45" s="1487"/>
      <c r="L45" s="1484"/>
    </row>
    <row r="46" spans="2:12" s="322" customFormat="1" ht="13.7"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7"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42578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Collinsville Area Vocational Center</v>
      </c>
      <c r="C1" s="2479"/>
      <c r="D1" s="2479"/>
      <c r="E1" s="1491"/>
    </row>
    <row r="2" spans="2:5" s="1282" customFormat="1" ht="12.75" customHeight="1" x14ac:dyDescent="0.2">
      <c r="B2" s="2481">
        <f>'Single Audit Cover'!E7</f>
        <v>41057010041</v>
      </c>
      <c r="C2" s="2481"/>
      <c r="D2" s="2481"/>
      <c r="E2" s="1492"/>
    </row>
    <row r="3" spans="2:5" ht="12.75" customHeight="1" x14ac:dyDescent="0.2">
      <c r="B3" s="2495" t="s">
        <v>1867</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1868</v>
      </c>
      <c r="C5" s="328"/>
      <c r="D5" s="328"/>
      <c r="E5" s="328"/>
    </row>
    <row r="6" spans="2:5" s="1282" customFormat="1" ht="13.7" customHeight="1" x14ac:dyDescent="0.2">
      <c r="B6" s="1495" t="s">
        <v>1380</v>
      </c>
      <c r="C6" s="1495" t="s">
        <v>1379</v>
      </c>
      <c r="D6" s="1495" t="s">
        <v>1869</v>
      </c>
    </row>
    <row r="7" spans="2:5" ht="13.7" customHeight="1" x14ac:dyDescent="0.2">
      <c r="B7" s="1496"/>
      <c r="C7" s="324"/>
      <c r="D7" s="324"/>
      <c r="E7" s="324"/>
    </row>
    <row r="8" spans="2:5" ht="13.7" customHeight="1" x14ac:dyDescent="0.2">
      <c r="B8" s="1496"/>
      <c r="C8" s="324"/>
      <c r="D8" s="324"/>
      <c r="E8" s="324"/>
    </row>
    <row r="9" spans="2:5" ht="13.7" customHeight="1" x14ac:dyDescent="0.2">
      <c r="B9" s="1497"/>
      <c r="C9" s="323"/>
      <c r="D9" s="323"/>
      <c r="E9" s="323"/>
    </row>
    <row r="10" spans="2:5" ht="13.7" customHeight="1" x14ac:dyDescent="0.2">
      <c r="B10" s="1496"/>
      <c r="C10" s="323"/>
      <c r="D10" s="323"/>
      <c r="E10" s="323"/>
    </row>
    <row r="11" spans="2:5" ht="13.7" customHeight="1" x14ac:dyDescent="0.2">
      <c r="B11" s="1496"/>
      <c r="C11" s="323"/>
      <c r="D11" s="323"/>
      <c r="E11" s="323"/>
    </row>
    <row r="12" spans="2:5" ht="13.7" customHeight="1" x14ac:dyDescent="0.2">
      <c r="B12" s="1496"/>
      <c r="C12" s="323"/>
      <c r="D12" s="323"/>
      <c r="E12" s="323"/>
    </row>
    <row r="13" spans="2:5" ht="13.7" customHeight="1" x14ac:dyDescent="0.2">
      <c r="B13" s="1496"/>
      <c r="C13" s="323"/>
      <c r="D13" s="323"/>
      <c r="E13" s="323"/>
    </row>
    <row r="14" spans="2:5" ht="13.7" customHeight="1" x14ac:dyDescent="0.2">
      <c r="B14" s="1496"/>
      <c r="C14" s="323"/>
      <c r="D14" s="323"/>
      <c r="E14" s="323"/>
    </row>
    <row r="15" spans="2:5" ht="13.7" customHeight="1" x14ac:dyDescent="0.2">
      <c r="B15" s="1496"/>
      <c r="C15" s="323"/>
      <c r="D15" s="323"/>
      <c r="E15" s="323"/>
    </row>
    <row r="16" spans="2:5" ht="13.7" customHeight="1" x14ac:dyDescent="0.2">
      <c r="B16" s="1496"/>
      <c r="C16" s="323"/>
      <c r="D16" s="323"/>
      <c r="E16" s="323"/>
    </row>
    <row r="17" spans="2:5" ht="13.7" customHeight="1" x14ac:dyDescent="0.2">
      <c r="B17" s="1496"/>
      <c r="C17" s="323"/>
      <c r="D17" s="323"/>
      <c r="E17" s="323"/>
    </row>
    <row r="18" spans="2:5" ht="13.7" customHeight="1" x14ac:dyDescent="0.2">
      <c r="B18" s="1496"/>
      <c r="C18" s="323"/>
      <c r="D18" s="323"/>
      <c r="E18" s="323"/>
    </row>
    <row r="19" spans="2:5" ht="13.7" customHeight="1" x14ac:dyDescent="0.2">
      <c r="B19" s="1496"/>
      <c r="C19" s="323"/>
      <c r="D19" s="323"/>
      <c r="E19" s="323"/>
    </row>
    <row r="20" spans="2:5" ht="13.7" customHeight="1" x14ac:dyDescent="0.2">
      <c r="B20" s="1496"/>
      <c r="C20" s="323"/>
      <c r="D20" s="323"/>
      <c r="E20" s="323"/>
    </row>
    <row r="21" spans="2:5" ht="13.7" customHeight="1" x14ac:dyDescent="0.2">
      <c r="B21" s="1496"/>
      <c r="C21" s="323"/>
      <c r="D21" s="323"/>
      <c r="E21" s="323"/>
    </row>
    <row r="22" spans="2:5" ht="13.7" customHeight="1" x14ac:dyDescent="0.2">
      <c r="B22" s="1496"/>
      <c r="C22" s="323"/>
      <c r="D22" s="323"/>
      <c r="E22" s="323"/>
    </row>
    <row r="23" spans="2:5" ht="13.7" customHeight="1" x14ac:dyDescent="0.2">
      <c r="B23" s="1496"/>
      <c r="C23" s="323"/>
      <c r="D23" s="323"/>
      <c r="E23" s="323"/>
    </row>
    <row r="24" spans="2:5" ht="13.7" customHeight="1" x14ac:dyDescent="0.2">
      <c r="B24" s="1496"/>
      <c r="C24" s="323"/>
      <c r="D24" s="323"/>
      <c r="E24" s="323"/>
    </row>
    <row r="25" spans="2:5" ht="13.7" customHeight="1" x14ac:dyDescent="0.2">
      <c r="B25" s="1496"/>
      <c r="C25" s="323"/>
      <c r="D25" s="323"/>
      <c r="E25" s="323"/>
    </row>
    <row r="26" spans="2:5" ht="13.7" customHeight="1" x14ac:dyDescent="0.2">
      <c r="B26" s="1496"/>
      <c r="C26" s="323"/>
      <c r="D26" s="323"/>
      <c r="E26" s="323"/>
    </row>
    <row r="27" spans="2:5" ht="13.7" customHeight="1" x14ac:dyDescent="0.2">
      <c r="B27" s="1496"/>
      <c r="C27" s="323"/>
      <c r="D27" s="323"/>
      <c r="E27" s="323"/>
    </row>
    <row r="28" spans="2:5" ht="13.7" customHeight="1" x14ac:dyDescent="0.2">
      <c r="B28" s="1496"/>
      <c r="C28" s="323"/>
      <c r="D28" s="323"/>
      <c r="E28" s="323"/>
    </row>
    <row r="29" spans="2:5" ht="13.7" customHeight="1" x14ac:dyDescent="0.2">
      <c r="B29" s="1496"/>
      <c r="C29" s="323"/>
      <c r="D29" s="323"/>
      <c r="E29" s="323"/>
    </row>
    <row r="30" spans="2:5" ht="13.7" customHeight="1" x14ac:dyDescent="0.2">
      <c r="B30" s="1496"/>
      <c r="C30" s="323"/>
      <c r="D30" s="323"/>
      <c r="E30" s="323"/>
    </row>
    <row r="31" spans="2:5" ht="13.7" customHeight="1" x14ac:dyDescent="0.2">
      <c r="B31" s="1496"/>
      <c r="C31" s="323"/>
      <c r="D31" s="323"/>
      <c r="E31" s="323"/>
    </row>
    <row r="32" spans="2:5" ht="13.7" customHeight="1" x14ac:dyDescent="0.2">
      <c r="B32" s="1498"/>
      <c r="C32" s="323"/>
      <c r="D32" s="323"/>
      <c r="E32" s="323"/>
    </row>
    <row r="33" spans="2:5" ht="13.7" customHeight="1" x14ac:dyDescent="0.2">
      <c r="B33" s="1499"/>
      <c r="C33" s="323"/>
      <c r="D33" s="323"/>
      <c r="E33" s="323"/>
    </row>
    <row r="34" spans="2:5" ht="13.7" customHeight="1" x14ac:dyDescent="0.2">
      <c r="B34" s="1500"/>
      <c r="C34" s="323"/>
      <c r="D34" s="323"/>
      <c r="E34" s="323"/>
    </row>
    <row r="35" spans="2:5" ht="13.7" customHeight="1" x14ac:dyDescent="0.2">
      <c r="B35" s="1499"/>
      <c r="C35" s="323"/>
      <c r="D35" s="323"/>
      <c r="E35" s="323"/>
    </row>
    <row r="36" spans="2:5" ht="13.7" customHeight="1" x14ac:dyDescent="0.2">
      <c r="B36" s="1500"/>
      <c r="C36" s="323"/>
      <c r="D36" s="323"/>
      <c r="E36" s="323"/>
    </row>
    <row r="37" spans="2:5" ht="13.7" customHeight="1" x14ac:dyDescent="0.2">
      <c r="B37" s="1500"/>
      <c r="C37" s="323"/>
      <c r="D37" s="323"/>
      <c r="E37" s="323"/>
    </row>
    <row r="38" spans="2:5" ht="13.7" customHeight="1" x14ac:dyDescent="0.2">
      <c r="B38" s="1499"/>
      <c r="C38" s="323"/>
      <c r="D38" s="323"/>
      <c r="E38" s="323"/>
    </row>
    <row r="39" spans="2:5" ht="13.7" customHeight="1" x14ac:dyDescent="0.2">
      <c r="B39" s="1500"/>
      <c r="C39" s="323"/>
      <c r="D39" s="323"/>
      <c r="E39" s="323"/>
    </row>
    <row r="40" spans="2:5" ht="13.7" customHeight="1" x14ac:dyDescent="0.2">
      <c r="B40" s="1499"/>
      <c r="C40" s="323"/>
      <c r="D40" s="323"/>
      <c r="E40" s="323"/>
    </row>
    <row r="41" spans="2:5" ht="13.7" customHeight="1" x14ac:dyDescent="0.2">
      <c r="B41" s="1501"/>
      <c r="C41" s="323"/>
      <c r="D41" s="323"/>
      <c r="E41" s="323"/>
    </row>
    <row r="42" spans="2:5" ht="13.7"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elements/1.1/"/>
    <ds:schemaRef ds:uri="http://schemas.microsoft.com/office/2006/metadata/properties"/>
    <ds:schemaRef ds:uri="6ce3111e-7420-4802-b50a-75d4e9a0b980"/>
    <ds:schemaRef ds:uri="http://purl.org/dc/term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2018-09-05T19:17:47Z</cp:lastPrinted>
  <dcterms:created xsi:type="dcterms:W3CDTF">2003-10-29T19:06:34Z</dcterms:created>
  <dcterms:modified xsi:type="dcterms:W3CDTF">2018-10-24T13:59:20Z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