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0490" windowHeight="7545" tabRatio="84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3" i="5" l="1"/>
  <c r="C272" i="5" l="1"/>
  <c r="M16" i="184"/>
  <c r="M14" i="184"/>
  <c r="M27" i="184" s="1"/>
  <c r="K16" i="184"/>
  <c r="J16" i="184"/>
  <c r="I16" i="184"/>
  <c r="H16" i="184"/>
  <c r="G16" i="184"/>
  <c r="F16" i="184"/>
  <c r="K14" i="184"/>
  <c r="I14" i="184"/>
  <c r="H14" i="184"/>
  <c r="G14" i="184"/>
  <c r="E16" i="184"/>
  <c r="E14" i="184"/>
  <c r="E27" i="184" s="1"/>
  <c r="K27" i="184"/>
  <c r="H27" i="184"/>
  <c r="G27" i="184"/>
  <c r="L26" i="184"/>
  <c r="L25" i="184"/>
  <c r="L24" i="184"/>
  <c r="L23" i="184"/>
  <c r="L22" i="184"/>
  <c r="L21" i="184"/>
  <c r="L20" i="184"/>
  <c r="L19" i="184"/>
  <c r="L18" i="184"/>
  <c r="L17" i="184"/>
  <c r="L16" i="184"/>
  <c r="L15" i="184"/>
  <c r="L13" i="184"/>
  <c r="L12" i="184"/>
  <c r="L11" i="184"/>
  <c r="B4" i="184"/>
  <c r="M27" i="183"/>
  <c r="K27" i="183"/>
  <c r="J27" i="183"/>
  <c r="I27" i="183"/>
  <c r="H27" i="183"/>
  <c r="G27" i="183"/>
  <c r="F27" i="183"/>
  <c r="E27" i="183"/>
  <c r="L26" i="183"/>
  <c r="L25" i="183"/>
  <c r="L24" i="183"/>
  <c r="L23" i="183"/>
  <c r="L22" i="183"/>
  <c r="L21" i="183"/>
  <c r="L20" i="183"/>
  <c r="L19" i="183"/>
  <c r="L18" i="183"/>
  <c r="L17" i="183"/>
  <c r="L16" i="183"/>
  <c r="L15" i="183"/>
  <c r="L14" i="183"/>
  <c r="L13" i="183"/>
  <c r="L12" i="183"/>
  <c r="L11" i="183"/>
  <c r="B4" i="183"/>
  <c r="K27" i="179"/>
  <c r="J27" i="179"/>
  <c r="J14" i="184" s="1"/>
  <c r="I27" i="179"/>
  <c r="H27" i="179"/>
  <c r="G27" i="179"/>
  <c r="F27" i="179"/>
  <c r="F14" i="184" s="1"/>
  <c r="E27" i="179"/>
  <c r="J27" i="184" l="1"/>
  <c r="L14" i="184"/>
  <c r="I27" i="184"/>
  <c r="L27" i="184" s="1"/>
  <c r="F27" i="184"/>
  <c r="D35" i="171" s="1"/>
  <c r="L27" i="183"/>
  <c r="C65" i="5"/>
  <c r="H79" i="29"/>
  <c r="E51" i="29"/>
  <c r="D51" i="29"/>
  <c r="D49" i="29"/>
  <c r="F8" i="29"/>
  <c r="E8" i="29"/>
  <c r="D8" i="29"/>
  <c r="C271" i="5"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7"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3"/>
  <c r="B2" i="184"/>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B7764" i="106"/>
  <c r="D7764" i="106" s="1"/>
  <c r="J85" i="28"/>
  <c r="B7758" i="106" s="1"/>
  <c r="D7758" i="106" s="1"/>
  <c r="J88" i="28"/>
  <c r="K6" i="29"/>
  <c r="B7763" i="106" s="1"/>
  <c r="B7762" i="106"/>
  <c r="K12" i="12"/>
  <c r="B7719" i="106" s="1"/>
  <c r="D7719" i="106" s="1"/>
  <c r="K23" i="12"/>
  <c r="J12" i="12"/>
  <c r="J21" i="12"/>
  <c r="J23" i="12"/>
  <c r="B7729" i="106"/>
  <c r="D7729" i="106" s="1"/>
  <c r="B7734" i="106"/>
  <c r="B7726" i="106"/>
  <c r="D7726" i="106" s="1"/>
  <c r="D76" i="36"/>
  <c r="F162" i="34"/>
  <c r="B30" i="36"/>
  <c r="B33" i="36" s="1"/>
  <c r="B43" i="36" s="1"/>
  <c r="B56" i="36" s="1"/>
  <c r="B66" i="36" s="1"/>
  <c r="B70" i="36" s="1"/>
  <c r="B74" i="36" s="1"/>
  <c r="D73" i="36"/>
  <c r="C191" i="5"/>
  <c r="C201" i="5"/>
  <c r="B5246" i="106" s="1"/>
  <c r="D5246" i="106" s="1"/>
  <c r="C211" i="5"/>
  <c r="C216" i="5"/>
  <c r="B4411" i="106" s="1"/>
  <c r="D4411" i="106" s="1"/>
  <c r="C224" i="5"/>
  <c r="B5286" i="106" s="1"/>
  <c r="D5286" i="106" s="1"/>
  <c r="C228" i="5"/>
  <c r="C259" i="5"/>
  <c r="B7761" i="106"/>
  <c r="L127" i="29"/>
  <c r="L129" i="29" s="1"/>
  <c r="L139" i="29"/>
  <c r="L149" i="29"/>
  <c r="I7" i="145"/>
  <c r="I6" i="145"/>
  <c r="D82" i="36"/>
  <c r="D78" i="36"/>
  <c r="K75" i="29"/>
  <c r="K130" i="29"/>
  <c r="D14" i="4" s="1"/>
  <c r="B2570" i="106" s="1"/>
  <c r="D2570" i="106" s="1"/>
  <c r="K185" i="29"/>
  <c r="B2836" i="106" s="1"/>
  <c r="D2836" i="106" s="1"/>
  <c r="K122" i="29"/>
  <c r="F15" i="145" s="1"/>
  <c r="F19" i="145" s="1"/>
  <c r="K67" i="29"/>
  <c r="K64" i="29"/>
  <c r="F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B2726" i="106" s="1"/>
  <c r="D2726" i="106" s="1"/>
  <c r="K248" i="29"/>
  <c r="K249" i="29"/>
  <c r="B7084" i="106" s="1"/>
  <c r="D7084" i="106" s="1"/>
  <c r="K250" i="29"/>
  <c r="K251" i="29"/>
  <c r="B7088" i="106" s="1"/>
  <c r="D7088" i="106" s="1"/>
  <c r="K252" i="29"/>
  <c r="K253" i="29"/>
  <c r="B7092" i="106" s="1"/>
  <c r="D7092" i="106" s="1"/>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s="1"/>
  <c r="B5103" i="106"/>
  <c r="D5103" i="106"/>
  <c r="B5104" i="106"/>
  <c r="D5104" i="106" s="1"/>
  <c r="B5105" i="106"/>
  <c r="D5105" i="106"/>
  <c r="B5106" i="106"/>
  <c r="D5106" i="106" s="1"/>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c r="B6731" i="106"/>
  <c r="D6731" i="106" s="1"/>
  <c r="B6732" i="106"/>
  <c r="D6732" i="106"/>
  <c r="B6733" i="106"/>
  <c r="D6733" i="106" s="1"/>
  <c r="B6734" i="106"/>
  <c r="D6734" i="106" s="1"/>
  <c r="B6735" i="106"/>
  <c r="D6735" i="106" s="1"/>
  <c r="B6736" i="106"/>
  <c r="D6736" i="106" s="1"/>
  <c r="B6737" i="106"/>
  <c r="D6737" i="106" s="1"/>
  <c r="B6738" i="106"/>
  <c r="D6738" i="106"/>
  <c r="B6739" i="106"/>
  <c r="D6739" i="106" s="1"/>
  <c r="B6740" i="106"/>
  <c r="D6740" i="106" s="1"/>
  <c r="B6741" i="106"/>
  <c r="D6741" i="106" s="1"/>
  <c r="B6742" i="106"/>
  <c r="D6742" i="106"/>
  <c r="B6743" i="106"/>
  <c r="D6743" i="106" s="1"/>
  <c r="B6744" i="106"/>
  <c r="D6744" i="106" s="1"/>
  <c r="B6745" i="106"/>
  <c r="D6745" i="106" s="1"/>
  <c r="B6746" i="106"/>
  <c r="D6746" i="106" s="1"/>
  <c r="B6747" i="106"/>
  <c r="D6747" i="106" s="1"/>
  <c r="B6748" i="106"/>
  <c r="D6748" i="106"/>
  <c r="B6749" i="106"/>
  <c r="D6749" i="106" s="1"/>
  <c r="B6750" i="106"/>
  <c r="D6750" i="106"/>
  <c r="B6751" i="106"/>
  <c r="D6751" i="106" s="1"/>
  <c r="B6752" i="106"/>
  <c r="D6752" i="106" s="1"/>
  <c r="B6753" i="106"/>
  <c r="D6753" i="106" s="1"/>
  <c r="B6754" i="106"/>
  <c r="D6754" i="106"/>
  <c r="B6755" i="106"/>
  <c r="D6755" i="106" s="1"/>
  <c r="B6756" i="106"/>
  <c r="D6756" i="106"/>
  <c r="B6757" i="106"/>
  <c r="D6757" i="106" s="1"/>
  <c r="B6758" i="106"/>
  <c r="D6758" i="106"/>
  <c r="B6759" i="106"/>
  <c r="D6759" i="106" s="1"/>
  <c r="B6760" i="106"/>
  <c r="D6760" i="106" s="1"/>
  <c r="B6761" i="106"/>
  <c r="D6761" i="106" s="1"/>
  <c r="B6762" i="106"/>
  <c r="D6762" i="106"/>
  <c r="B6763" i="106"/>
  <c r="D6763" i="106" s="1"/>
  <c r="B6764" i="106"/>
  <c r="D6764" i="106"/>
  <c r="B6765" i="106"/>
  <c r="D6765" i="106" s="1"/>
  <c r="B6766" i="106"/>
  <c r="D6766" i="106" s="1"/>
  <c r="B6767" i="106"/>
  <c r="D6767" i="106" s="1"/>
  <c r="B6768" i="106"/>
  <c r="D6768" i="106" s="1"/>
  <c r="B6769" i="106"/>
  <c r="D6769" i="106" s="1"/>
  <c r="B6770" i="106"/>
  <c r="D6770" i="106"/>
  <c r="B6771" i="106"/>
  <c r="D6771" i="106" s="1"/>
  <c r="B6772" i="106"/>
  <c r="D6772" i="106" s="1"/>
  <c r="B6773" i="106"/>
  <c r="D6773" i="106" s="1"/>
  <c r="B6774" i="106"/>
  <c r="D6774" i="106"/>
  <c r="B6775" i="106"/>
  <c r="D6775" i="106" s="1"/>
  <c r="B6776" i="106"/>
  <c r="D6776" i="106" s="1"/>
  <c r="B6777" i="106"/>
  <c r="D6777" i="106" s="1"/>
  <c r="B6778" i="106"/>
  <c r="D6778" i="106" s="1"/>
  <c r="B6779" i="106"/>
  <c r="D6779" i="106" s="1"/>
  <c r="B6780" i="106"/>
  <c r="D6780" i="106"/>
  <c r="B6781" i="106"/>
  <c r="D6781" i="106" s="1"/>
  <c r="B6782" i="106"/>
  <c r="D6782" i="106"/>
  <c r="B6783" i="106"/>
  <c r="D6783" i="106" s="1"/>
  <c r="B6784" i="106"/>
  <c r="D6784" i="106" s="1"/>
  <c r="B6785" i="106"/>
  <c r="D6785" i="106" s="1"/>
  <c r="B6786" i="106"/>
  <c r="D6786" i="106"/>
  <c r="B6787" i="106"/>
  <c r="D6787" i="106" s="1"/>
  <c r="B6788" i="106"/>
  <c r="D6788" i="106"/>
  <c r="B6789" i="106"/>
  <c r="D6789" i="106" s="1"/>
  <c r="B6790" i="106"/>
  <c r="D6790" i="106"/>
  <c r="B6791" i="106"/>
  <c r="D6791" i="106" s="1"/>
  <c r="B6792" i="106"/>
  <c r="D6792" i="106" s="1"/>
  <c r="B6793" i="106"/>
  <c r="D6793" i="106" s="1"/>
  <c r="B6794" i="106"/>
  <c r="D6794" i="106"/>
  <c r="B6795" i="106"/>
  <c r="D6795" i="106" s="1"/>
  <c r="B6796" i="106"/>
  <c r="D6796" i="106"/>
  <c r="B6797" i="106"/>
  <c r="D6797" i="106" s="1"/>
  <c r="B6798" i="106"/>
  <c r="D6798" i="106" s="1"/>
  <c r="B6799" i="106"/>
  <c r="D6799" i="106" s="1"/>
  <c r="B6800" i="106"/>
  <c r="D6800" i="106" s="1"/>
  <c r="B6801" i="106"/>
  <c r="D6801" i="106" s="1"/>
  <c r="B6802" i="106"/>
  <c r="D6802" i="106"/>
  <c r="B6803" i="106"/>
  <c r="D6803" i="106" s="1"/>
  <c r="B6804" i="106"/>
  <c r="D6804" i="106" s="1"/>
  <c r="B6805" i="106"/>
  <c r="D6805" i="106" s="1"/>
  <c r="B6806" i="106"/>
  <c r="D6806" i="106"/>
  <c r="B6807" i="106"/>
  <c r="D6807" i="106" s="1"/>
  <c r="B6808" i="106"/>
  <c r="D6808" i="106" s="1"/>
  <c r="B6809" i="106"/>
  <c r="D6809" i="106" s="1"/>
  <c r="B6810" i="106"/>
  <c r="D6810" i="106" s="1"/>
  <c r="B6811" i="106"/>
  <c r="D6811" i="106" s="1"/>
  <c r="B6812" i="106"/>
  <c r="D6812" i="106"/>
  <c r="B6813" i="106"/>
  <c r="D6813" i="106" s="1"/>
  <c r="B6814" i="106"/>
  <c r="D6814" i="106"/>
  <c r="B6815" i="106"/>
  <c r="D6815" i="106" s="1"/>
  <c r="B6816" i="106"/>
  <c r="D6816" i="106" s="1"/>
  <c r="B6817" i="106"/>
  <c r="D6817" i="106" s="1"/>
  <c r="B6818" i="106"/>
  <c r="D6818" i="106"/>
  <c r="B6819" i="106"/>
  <c r="D6819" i="106" s="1"/>
  <c r="B6820" i="106"/>
  <c r="D6820" i="106"/>
  <c r="B6821" i="106"/>
  <c r="D6821" i="106" s="1"/>
  <c r="B6822" i="106"/>
  <c r="D6822" i="106"/>
  <c r="B6823" i="106"/>
  <c r="D6823" i="106" s="1"/>
  <c r="B6824" i="106"/>
  <c r="D6824" i="106" s="1"/>
  <c r="B6825" i="106"/>
  <c r="D6825" i="106" s="1"/>
  <c r="B6826" i="106"/>
  <c r="D6826" i="106"/>
  <c r="B6827" i="106"/>
  <c r="D6827" i="106" s="1"/>
  <c r="B6828" i="106"/>
  <c r="D6828" i="106"/>
  <c r="B6829" i="106"/>
  <c r="D6829" i="106" s="1"/>
  <c r="B6830" i="106"/>
  <c r="D6830" i="106" s="1"/>
  <c r="B6831" i="106"/>
  <c r="D6831" i="106" s="1"/>
  <c r="B6832" i="106"/>
  <c r="D6832" i="106" s="1"/>
  <c r="B6841" i="106"/>
  <c r="D6841" i="106" s="1"/>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5" i="106"/>
  <c r="D7085" i="106" s="1"/>
  <c r="B7086" i="106"/>
  <c r="D7086" i="106" s="1"/>
  <c r="B7087" i="106"/>
  <c r="D7087" i="106" s="1"/>
  <c r="B7089" i="106"/>
  <c r="D7089" i="106" s="1"/>
  <c r="B7090" i="106"/>
  <c r="D7090" i="106" s="1"/>
  <c r="B7091" i="106"/>
  <c r="D7091"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6" i="108"/>
  <c r="G26" i="108"/>
  <c r="D27" i="108"/>
  <c r="E27" i="108"/>
  <c r="F27" i="108"/>
  <c r="G27" i="108"/>
  <c r="E28" i="108"/>
  <c r="G28" i="108"/>
  <c r="G30" i="108"/>
  <c r="D37" i="108"/>
  <c r="E31" i="108"/>
  <c r="G31" i="108"/>
  <c r="E33" i="108"/>
  <c r="G33" i="108"/>
  <c r="E34"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F38" i="34"/>
  <c r="C39" i="34"/>
  <c r="D39" i="34"/>
  <c r="C40" i="34"/>
  <c r="D40" i="34"/>
  <c r="C41" i="34"/>
  <c r="D41" i="34"/>
  <c r="C42" i="34"/>
  <c r="D42" i="34"/>
  <c r="F42" i="34"/>
  <c r="C43" i="34"/>
  <c r="D43" i="34"/>
  <c r="C44" i="34"/>
  <c r="D44" i="34"/>
  <c r="F44" i="34"/>
  <c r="C45" i="34"/>
  <c r="D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c r="D5120" i="106" s="1"/>
  <c r="D108" i="5"/>
  <c r="D109" i="5" s="1"/>
  <c r="B5356" i="106" s="1"/>
  <c r="D5356" i="106" s="1"/>
  <c r="E108" i="5"/>
  <c r="B5526" i="106"/>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c r="D6400" i="106" s="1"/>
  <c r="K178" i="5"/>
  <c r="B4951" i="106" s="1"/>
  <c r="D4951" i="106" s="1"/>
  <c r="C184" i="5"/>
  <c r="B5232" i="106"/>
  <c r="D5232" i="106" s="1"/>
  <c r="D184" i="5"/>
  <c r="B5425" i="106" s="1"/>
  <c r="D5425" i="106" s="1"/>
  <c r="F184" i="5"/>
  <c r="B5658" i="106"/>
  <c r="D5658" i="106" s="1"/>
  <c r="G184" i="5"/>
  <c r="B5784" i="106" s="1"/>
  <c r="D5784" i="106" s="1"/>
  <c r="H184" i="5"/>
  <c r="B5908" i="106"/>
  <c r="D5908" i="106" s="1"/>
  <c r="K184" i="5"/>
  <c r="B6016" i="106" s="1"/>
  <c r="D6016"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D216" i="5"/>
  <c r="B4412" i="106"/>
  <c r="D4412" i="106" s="1"/>
  <c r="F216" i="5"/>
  <c r="B4413" i="106" s="1"/>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B2633" i="106"/>
  <c r="D2633" i="106" s="1"/>
  <c r="N22" i="3"/>
  <c r="B283" i="106" s="1"/>
  <c r="D283" i="106" s="1"/>
  <c r="D7" i="118"/>
  <c r="D8" i="118"/>
  <c r="D9" i="118"/>
  <c r="H14" i="118"/>
  <c r="H19" i="118"/>
  <c r="H24" i="118"/>
  <c r="H29" i="118"/>
  <c r="D11" i="37"/>
  <c r="D22" i="37"/>
  <c r="J22" i="37"/>
  <c r="D24" i="37"/>
  <c r="B4270" i="106" s="1"/>
  <c r="D4270" i="106" s="1"/>
  <c r="L5" i="11"/>
  <c r="B2056" i="106" s="1"/>
  <c r="D2056" i="106" s="1"/>
  <c r="D13" i="7"/>
  <c r="B3726" i="106" s="1"/>
  <c r="D3726" i="106" s="1"/>
  <c r="B5847" i="106"/>
  <c r="D5847" i="106" s="1"/>
  <c r="D7" i="7"/>
  <c r="B1763" i="106" s="1"/>
  <c r="D1763" i="106" s="1"/>
  <c r="D12" i="7"/>
  <c r="B1769" i="106" s="1"/>
  <c r="D1769" i="106" s="1"/>
  <c r="D11" i="7"/>
  <c r="B1768" i="106" s="1"/>
  <c r="D1768" i="106" s="1"/>
  <c r="F130" i="34" l="1"/>
  <c r="G109" i="5"/>
  <c r="B6024" i="106" s="1"/>
  <c r="D6024" i="106" s="1"/>
  <c r="D15" i="7"/>
  <c r="B1772" i="106" s="1"/>
  <c r="D1772" i="106" s="1"/>
  <c r="K274" i="5"/>
  <c r="D9" i="7"/>
  <c r="B1767" i="106" s="1"/>
  <c r="D1767" i="106" s="1"/>
  <c r="B4373" i="106"/>
  <c r="D4373" i="106" s="1"/>
  <c r="F106" i="34"/>
  <c r="E109" i="5"/>
  <c r="E4" i="4" s="1"/>
  <c r="B2630" i="106" s="1"/>
  <c r="D2630" i="106" s="1"/>
  <c r="B5355" i="106"/>
  <c r="D5355" i="106" s="1"/>
  <c r="C342" i="29"/>
  <c r="B7216" i="106" s="1"/>
  <c r="D7216" i="106" s="1"/>
  <c r="B6238" i="106"/>
  <c r="D6238" i="106" s="1"/>
  <c r="D6103" i="106"/>
  <c r="H365" i="29"/>
  <c r="B7242" i="106" s="1"/>
  <c r="D7242" i="106" s="1"/>
  <c r="K76" i="4"/>
  <c r="B3586" i="106" s="1"/>
  <c r="D3586" i="106" s="1"/>
  <c r="F77" i="4"/>
  <c r="B3255" i="106" s="1"/>
  <c r="D3255" i="106" s="1"/>
  <c r="B2734" i="106"/>
  <c r="D2734" i="106" s="1"/>
  <c r="G210" i="29"/>
  <c r="B1365" i="106" s="1"/>
  <c r="D1365" i="106" s="1"/>
  <c r="F136" i="34"/>
  <c r="K24" i="12"/>
  <c r="F128" i="34"/>
  <c r="D7245" i="106"/>
  <c r="B1223" i="106"/>
  <c r="D1223" i="106" s="1"/>
  <c r="F111" i="34"/>
  <c r="D5" i="4"/>
  <c r="B3406" i="106" s="1"/>
  <c r="D3406" i="106" s="1"/>
  <c r="B1746" i="106"/>
  <c r="D1746" i="106" s="1"/>
  <c r="H173" i="5"/>
  <c r="F127" i="34"/>
  <c r="F50" i="34"/>
  <c r="I210" i="29"/>
  <c r="B7071" i="106" s="1"/>
  <c r="D7071" i="106" s="1"/>
  <c r="K184" i="29"/>
  <c r="F13" i="4" s="1"/>
  <c r="B2596" i="106" s="1"/>
  <c r="D2596" i="106" s="1"/>
  <c r="F37" i="108"/>
  <c r="F28" i="108"/>
  <c r="C109" i="5"/>
  <c r="B5121" i="106" s="1"/>
  <c r="D5121" i="106" s="1"/>
  <c r="D54" i="36"/>
  <c r="B3649" i="106"/>
  <c r="D3649" i="106" s="1"/>
  <c r="G367" i="29"/>
  <c r="H109" i="5"/>
  <c r="F131" i="34"/>
  <c r="H28" i="118"/>
  <c r="K28" i="118" s="1"/>
  <c r="O27" i="118" s="1"/>
  <c r="O29" i="118" s="1"/>
  <c r="F35" i="34"/>
  <c r="G5" i="4"/>
  <c r="B3409" i="106" s="1"/>
  <c r="D3409" i="106" s="1"/>
  <c r="F41" i="34"/>
  <c r="D4" i="4"/>
  <c r="B2564" i="106" s="1"/>
  <c r="D2564" i="106" s="1"/>
  <c r="F21" i="8"/>
  <c r="B3689" i="106"/>
  <c r="D3689" i="106" s="1"/>
  <c r="G4" i="4"/>
  <c r="B2603" i="106" s="1"/>
  <c r="D2603" i="106" s="1"/>
  <c r="E30" i="108"/>
  <c r="D26" i="108"/>
  <c r="C172" i="5"/>
  <c r="D5" i="7"/>
  <c r="B1761" i="106" s="1"/>
  <c r="D1761" i="106" s="1"/>
  <c r="F14" i="4"/>
  <c r="B2597" i="106" s="1"/>
  <c r="D2597" i="106" s="1"/>
  <c r="B4395" i="106"/>
  <c r="D4395" i="106" s="1"/>
  <c r="K173" i="5"/>
  <c r="K6" i="4" s="1"/>
  <c r="B3570" i="106" s="1"/>
  <c r="D3570" i="106" s="1"/>
  <c r="G172" i="5"/>
  <c r="F66" i="34"/>
  <c r="F45" i="34"/>
  <c r="G39" i="108"/>
  <c r="E35" i="108"/>
  <c r="D36" i="108"/>
  <c r="G29" i="108"/>
  <c r="F36" i="108"/>
  <c r="B7047" i="106"/>
  <c r="D7047" i="106" s="1"/>
  <c r="H112" i="29"/>
  <c r="B7018" i="106" s="1"/>
  <c r="D7018" i="106" s="1"/>
  <c r="K41" i="3"/>
  <c r="D17" i="7"/>
  <c r="B4104" i="106" s="1"/>
  <c r="D4104" i="106" s="1"/>
  <c r="D4" i="7"/>
  <c r="B1760" i="106" s="1"/>
  <c r="D1760" i="106" s="1"/>
  <c r="H33" i="118"/>
  <c r="J274" i="5"/>
  <c r="B7054" i="106" s="1"/>
  <c r="D7054" i="106" s="1"/>
  <c r="I173" i="5"/>
  <c r="B4216" i="106" s="1"/>
  <c r="D4216" i="106" s="1"/>
  <c r="B5096" i="106"/>
  <c r="D5096" i="106" s="1"/>
  <c r="L367" i="29"/>
  <c r="F19" i="7"/>
  <c r="B1807" i="106" s="1"/>
  <c r="D1807" i="106" s="1"/>
  <c r="F65" i="34"/>
  <c r="F46" i="34"/>
  <c r="F37" i="34"/>
  <c r="G38" i="108"/>
  <c r="D31" i="108"/>
  <c r="D41" i="108" s="1"/>
  <c r="E43" i="108" s="1"/>
  <c r="E29" i="108"/>
  <c r="F26" i="108"/>
  <c r="D69" i="36"/>
  <c r="I342" i="29"/>
  <c r="B7222" i="106" s="1"/>
  <c r="D7222" i="106" s="1"/>
  <c r="K350" i="29"/>
  <c r="B3647" i="106"/>
  <c r="D3647" i="106" s="1"/>
  <c r="C352" i="29"/>
  <c r="I24" i="12"/>
  <c r="K285" i="29"/>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L114" i="29" s="1"/>
  <c r="K33" i="29"/>
  <c r="B720" i="106"/>
  <c r="D720" i="106" s="1"/>
  <c r="B2031" i="106"/>
  <c r="D2031" i="106" s="1"/>
  <c r="B7618" i="106"/>
  <c r="L14" i="11"/>
  <c r="B7623" i="106" s="1"/>
  <c r="D7250" i="106"/>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5914" i="106"/>
  <c r="D5914" i="106" s="1"/>
  <c r="B3447" i="106"/>
  <c r="D3447" i="106" s="1"/>
  <c r="B7270" i="106"/>
  <c r="D7256" i="106" l="1"/>
  <c r="D7251" i="106"/>
  <c r="I6" i="4"/>
  <c r="B5011" i="106" s="1"/>
  <c r="D5011" i="106" s="1"/>
  <c r="K365" i="29"/>
  <c r="D7253" i="106"/>
  <c r="B7733" i="106"/>
  <c r="D7733" i="106" s="1"/>
  <c r="K26" i="12"/>
  <c r="B7743" i="106" s="1"/>
  <c r="D7743" i="106" s="1"/>
  <c r="B5906" i="106"/>
  <c r="D5906" i="106" s="1"/>
  <c r="H6" i="4"/>
  <c r="B2656" i="106" s="1"/>
  <c r="D2656" i="106" s="1"/>
  <c r="D7254" i="106"/>
  <c r="B7215" i="106"/>
  <c r="D7215" i="106" s="1"/>
  <c r="F274" i="5"/>
  <c r="F275" i="5" s="1"/>
  <c r="B6014" i="106"/>
  <c r="D6014" i="106" s="1"/>
  <c r="H367" i="29"/>
  <c r="B3660" i="106" s="1"/>
  <c r="D3660" i="106" s="1"/>
  <c r="C114" i="29"/>
  <c r="B757" i="106" s="1"/>
  <c r="D757" i="106" s="1"/>
  <c r="C4" i="4"/>
  <c r="B2551" i="106" s="1"/>
  <c r="D2551" i="106" s="1"/>
  <c r="D44" i="36"/>
  <c r="B3621" i="106"/>
  <c r="D3621" i="106" s="1"/>
  <c r="C367" i="29"/>
  <c r="B3622" i="106" s="1"/>
  <c r="D3622" i="106" s="1"/>
  <c r="B1879" i="106"/>
  <c r="D1879" i="106" s="1"/>
  <c r="H22" i="37"/>
  <c r="B3568" i="106"/>
  <c r="D3568" i="106" s="1"/>
  <c r="D52" i="36"/>
  <c r="B6025" i="106"/>
  <c r="D6025" i="106" s="1"/>
  <c r="H4" i="4"/>
  <c r="D19" i="7"/>
  <c r="B1775" i="106" s="1"/>
  <c r="D1775" i="106" s="1"/>
  <c r="H275" i="5"/>
  <c r="J7" i="4"/>
  <c r="K367" i="29"/>
  <c r="D7255" i="106"/>
  <c r="D7252" i="106"/>
  <c r="F73" i="34"/>
  <c r="G15" i="4"/>
  <c r="B6032" i="106" s="1"/>
  <c r="D6032" i="106" s="1"/>
  <c r="B3670" i="106"/>
  <c r="D3670" i="106" s="1"/>
  <c r="K352" i="29"/>
  <c r="G173" i="5"/>
  <c r="B5770" i="106"/>
  <c r="D5770" i="106" s="1"/>
  <c r="D274" i="5"/>
  <c r="B1996" i="106"/>
  <c r="D1996" i="106" s="1"/>
  <c r="I26" i="12"/>
  <c r="B7741" i="106" s="1"/>
  <c r="D7741"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B5507" i="106"/>
  <c r="D5507" i="106" s="1"/>
  <c r="B7298" i="106"/>
  <c r="B7299" i="106"/>
  <c r="B2655" i="106" l="1"/>
  <c r="D2655" i="106" s="1"/>
  <c r="H8" i="4"/>
  <c r="G41" i="108"/>
  <c r="B5778" i="106"/>
  <c r="D5778" i="106" s="1"/>
  <c r="G6" i="4"/>
  <c r="B2604" i="106" s="1"/>
  <c r="D2604" i="106" s="1"/>
  <c r="F24" i="37"/>
  <c r="K13" i="4"/>
  <c r="B3572" i="106" s="1"/>
  <c r="D3572" i="106" s="1"/>
  <c r="B3672" i="106"/>
  <c r="D3672" i="106" s="1"/>
  <c r="J8" i="4"/>
  <c r="F8" i="4"/>
  <c r="D8" i="146" s="1"/>
  <c r="E41" i="108"/>
  <c r="E44" i="108" s="1"/>
  <c r="E45" i="108" s="1"/>
  <c r="J17" i="4"/>
  <c r="J19" i="4" s="1"/>
  <c r="B6229" i="106" s="1"/>
  <c r="D6229" i="106"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B2595" i="106"/>
  <c r="D2595" i="106" s="1"/>
  <c r="G44" i="108"/>
  <c r="G45" i="108"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10" i="4" l="1"/>
  <c r="B4125" i="106" s="1"/>
  <c r="D4125" i="106" s="1"/>
  <c r="D10" i="171"/>
  <c r="D19" i="171" s="1"/>
  <c r="D32" i="171" s="1"/>
  <c r="D49" i="171" s="1"/>
  <c r="B6227" i="106"/>
  <c r="D6227" i="106" s="1"/>
  <c r="K17" i="4"/>
  <c r="B3575" i="106" s="1"/>
  <c r="D3575" i="10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K20" i="4" l="1"/>
  <c r="K19" i="4"/>
  <c r="B4144" i="106" s="1"/>
  <c r="D4144" i="106" s="1"/>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<sst xmlns="http://schemas.openxmlformats.org/spreadsheetml/2006/main" count="5182" uniqueCount="2136">
  <si>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</si>
  <si>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</si>
  <si>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</si>
  <si>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</si>
  <si>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</si>
  <si>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</si>
  <si>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</si>
  <si>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</si>
  <si>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</si>
  <si>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</si>
  <si>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</si>
  <si>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</si>
  <si>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</si>
  <si>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</si>
  <si>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</si>
  <si>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</si>
  <si>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</si>
  <si>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</si>
  <si>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</si>
  <si>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</si>
  <si>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</si>
  <si>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</si>
  <si>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</si>
  <si>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</si>
  <si>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</si>
  <si>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</si>
  <si>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</si>
  <si>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</si>
  <si>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</si>
  <si>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</si>
  <si>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</si>
  <si>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</si>
  <si>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</si>
  <si>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</si>
  <si>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</si>
  <si>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</si>
  <si>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</si>
  <si>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</si>
  <si>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</si>
  <si>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</si>
  <si>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</si>
  <si>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</si>
  <si>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</si>
  <si>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</si>
  <si>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</si>
  <si>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</si>
  <si>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</si>
  <si>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</si>
  <si>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</si>
  <si>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</si>
  <si>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</si>
  <si>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</si>
  <si>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</si>
  <si>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</si>
  <si>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</si>
  <si>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</si>
  <si>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</si>
  <si>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</si>
  <si>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</si>
  <si>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</si>
  <si>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</si>
  <si>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</si>
  <si>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</si>
  <si>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</si>
  <si>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</si>
  <si>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</si>
  <si>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</si>
  <si>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</si>
  <si>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</si>
  <si>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</si>
  <si>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</si>
  <si>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</si>
  <si>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</si>
  <si>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</si>
  <si>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</si>
  <si>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</si>
  <si>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</si>
  <si>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</si>
  <si>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</si>
  <si>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</si>
  <si>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</si>
  <si>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</si>
  <si>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</si>
  <si>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</si>
  <si>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</si>
  <si>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</si>
  <si>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</si>
  <si>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</si>
  <si>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</si>
  <si>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</si>
  <si>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</si>
  <si>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</si>
  <si>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</si>
  <si>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</si>
  <si>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</si>
  <si>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</si>
  <si>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</si>
  <si>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</si>
  <si>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</si>
  <si>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</si>
  <si>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</si>
  <si>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</si>
  <si>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</si>
  <si>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</si>
  <si>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</si>
  <si>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</si>
  <si>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</si>
  <si>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</si>
  <si>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</si>
  <si>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</si>
  <si>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</si>
  <si>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</si>
  <si>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</si>
  <si>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</si>
  <si>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</si>
  <si>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</si>
  <si>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</si>
  <si>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</si>
  <si>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</si>
  <si>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</si>
  <si>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</si>
  <si>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</si>
  <si>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</si>
  <si>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</si>
  <si>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</si>
  <si>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</si>
  <si>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</si>
  <si>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</si>
  <si>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</si>
  <si>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</si>
  <si>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</si>
  <si>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</si>
  <si>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</si>
  <si>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</si>
  <si>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</si>
  <si>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</si>
  <si>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</si>
  <si>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</si>
  <si>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</si>
  <si>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</si>
  <si>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</si>
  <si>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</si>
  <si>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</si>
  <si>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</si>
  <si>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</si>
  <si>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</si>
  <si>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</si>
  <si>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</si>
  <si>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</si>
  <si>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</si>
  <si>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</si>
  <si>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</si>
  <si>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</si>
  <si>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</si>
  <si>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</si>
  <si>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</si>
  <si>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</si>
  <si>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</si>
  <si>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</si>
  <si>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</si>
  <si>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</si>
  <si>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</si>
  <si>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</si>
  <si>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</si>
  <si>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</si>
  <si>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</si>
  <si>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</si>
  <si>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</si>
  <si>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</si>
  <si>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</si>
  <si>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</si>
  <si>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</si>
  <si>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</si>
  <si>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</si>
  <si>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</si>
  <si>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</si>
  <si>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</si>
  <si>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</si>
  <si>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</si>
  <si>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</si>
  <si>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</si>
  <si>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</si>
  <si>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</si>
  <si>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</si>
  <si>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</si>
  <si>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</si>
  <si>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</si>
  <si>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</si>
  <si>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</si>
  <si>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</si>
  <si>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</si>
  <si>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</si>
  <si>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</si>
  <si>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</si>
  <si>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</si>
  <si>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</si>
  <si>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</si>
  <si>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</si>
  <si>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</si>
  <si>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</si>
  <si>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</si>
  <si>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</si>
  <si>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</si>
  <si>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</si>
  <si>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</si>
  <si>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</si>
  <si>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</si>
  <si>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</si>
  <si>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</si>
  <si>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</si>
  <si>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</si>
  <si>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</si>
  <si>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</si>
  <si>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</si>
  <si>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</si>
  <si>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</si>
  <si>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</si>
  <si>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</si>
  <si>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</si>
  <si>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</si>
  <si>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</si>
  <si>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</si>
  <si>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</si>
  <si>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</si>
  <si>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</si>
  <si>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</si>
  <si>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</si>
  <si>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</si>
  <si>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</si>
  <si>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</si>
  <si>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</si>
  <si>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</si>
  <si>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</si>
  <si>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</si>
  <si>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</si>
  <si>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</si>
  <si>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</si>
  <si>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</si>
  <si>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</si>
  <si>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</si>
  <si>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</si>
  <si>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</si>
  <si>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</si>
  <si>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</si>
  <si>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</si>
  <si>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</si>
  <si>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</si>
  <si>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</si>
  <si>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</si>
  <si>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</si>
  <si>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</si>
  <si>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</si>
  <si>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</si>
  <si>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</si>
  <si>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</si>
  <si>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</si>
  <si>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</si>
  <si>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</si>
  <si>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</si>
  <si>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</si>
  <si>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</si>
  <si>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</si>
  <si>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</si>
  <si>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</si>
  <si>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</si>
  <si>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</si>
  <si>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</si>
  <si>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</si>
  <si>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</si>
  <si>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</si>
  <si>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</si>
  <si>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</si>
  <si>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</si>
  <si>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</si>
  <si>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</si>
  <si>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</si>
  <si>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</si>
  <si>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</si>
  <si>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</si>
  <si>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</si>
  <si>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</si>
  <si>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</si>
  <si>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</si>
  <si>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</si>
  <si>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</si>
  <si>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</si>
  <si>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</si>
  <si>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</si>
  <si>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</si>
  <si>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</si>
  <si>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</si>
  <si>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</si>
  <si>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</si>
  <si>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</si>
  <si>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</si>
  <si>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</si>
  <si>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</si>
  <si>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</si>
  <si>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</si>
  <si>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</si>
  <si>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</si>
  <si>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</si>
  <si>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</si>
  <si>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</si>
  <si>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</si>
  <si>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</si>
  <si>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</si>
  <si>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</si>
  <si>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</si>
  <si>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</si>
  <si>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</si>
  <si>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</si>
  <si>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</si>
  <si>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</si>
  <si>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</si>
  <si>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</si>
  <si>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</si>
  <si>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</si>
  <si>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</si>
  <si>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</si>
  <si>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</si>
  <si>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</si>
  <si>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</si>
  <si>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</si>
  <si>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</si>
  <si>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</si>
  <si>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</si>
  <si>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</si>
  <si>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</si>
  <si>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</si>
  <si>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</si>
  <si>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</si>
  <si>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</si>
  <si>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</si>
  <si>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</si>
  <si>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</si>
  <si>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</si>
  <si>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</si>
  <si>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</si>
  <si>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</si>
  <si>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</si>
  <si>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</si>
  <si>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</si>
  <si>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</si>
  <si>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</si>
  <si>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</si>
  <si>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</si>
  <si>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</si>
  <si>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</si>
  <si>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</si>
  <si>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</si>
  <si>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</si>
  <si>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</si>
  <si>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</si>
  <si>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</si>
  <si>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</si>
  <si>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</si>
  <si>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</si>
  <si>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</si>
  <si>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</si>
  <si>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</si>
  <si>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</si>
  <si>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</si>
  <si>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</si>
  <si>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</si>
  <si>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</si>
  <si>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</si>
  <si>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</si>
  <si>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</si>
  <si>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</si>
  <si>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</si>
  <si>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</si>
  <si>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</si>
  <si>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</si>
  <si>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</si>
  <si>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</si>
  <si>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</si>
  <si>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</si>
  <si>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</si>
  <si>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</si>
  <si>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</si>
  <si>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</si>
  <si>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</si>
  <si>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</si>
  <si>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</si>
  <si>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</si>
  <si>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</si>
  <si>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</si>
  <si>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</si>
  <si>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</si>
  <si>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</si>
  <si>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</si>
  <si>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</si>
  <si>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</si>
  <si>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</si>
  <si>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</si>
  <si>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</si>
  <si>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</si>
  <si>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</si>
  <si>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</si>
  <si>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</si>
  <si>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</si>
  <si>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</si>
  <si>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</si>
  <si>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</si>
  <si>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</si>
  <si>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</si>
  <si>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</si>
  <si>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</si>
  <si>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</si>
  <si>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</si>
  <si>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</si>
  <si>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</si>
  <si>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</si>
  <si>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</si>
  <si>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</si>
  <si>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</si>
  <si>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</si>
  <si>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</si>
  <si>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</si>
  <si>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</si>
  <si>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</si>
  <si>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</si>
  <si>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</si>
  <si>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</si>
  <si>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</si>
  <si>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</si>
  <si>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</si>
  <si>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</si>
  <si>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</si>
  <si>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</si>
  <si>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</si>
  <si>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</si>
  <si>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</si>
  <si>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</si>
  <si>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</si>
  <si>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</si>
  <si>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</si>
  <si>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</si>
  <si>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</si>
  <si>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</si>
  <si>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</si>
  <si>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</si>
  <si>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</si>
  <si>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</si>
  <si>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</si>
  <si>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</si>
  <si>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</si>
  <si>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</si>
  <si>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</si>
  <si>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</si>
  <si>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</si>
  <si>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</si>
  <si>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</si>
  <si>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</si>
  <si>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</si>
  <si>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</si>
  <si>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</si>
  <si>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</si>
  <si>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</si>
  <si>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</si>
  <si>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</si>
  <si>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</si>
  <si>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</si>
  <si>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</si>
  <si>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</si>
  <si>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</si>
  <si>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</si>
  <si>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</si>
  <si>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</si>
  <si>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</si>
  <si>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</si>
  <si>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</si>
  <si>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</si>
  <si>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</si>
  <si>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</si>
  <si>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</si>
  <si>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</si>
  <si>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</si>
  <si>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</si>
  <si>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</si>
  <si>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</si>
  <si>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</si>
  <si>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</si>
  <si>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</si>
  <si>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</si>
  <si>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</si>
  <si>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</si>
  <si>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</si>
  <si>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</si>
  <si>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</si>
  <si>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</si>
  <si>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</si>
  <si>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</si>
  <si>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</si>
  <si>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</si>
  <si>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</si>
  <si>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</si>
  <si>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</si>
  <si>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</si>
  <si>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</si>
  <si>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</si>
  <si>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</si>
  <si>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</si>
  <si>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</si>
  <si>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</si>
  <si>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</si>
  <si>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</si>
  <si>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</si>
  <si>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</si>
  <si>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</si>
  <si>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</si>
  <si>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</si>
  <si>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</si>
  <si>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</si>
  <si>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</si>
  <si>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</si>
  <si>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</si>
  <si>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</si>
  <si>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</si>
  <si>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</si>
  <si>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</si>
  <si>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</si>
  <si>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</si>
  <si>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</si>
  <si>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</si>
  <si>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</si>
  <si>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</si>
  <si>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</si>
  <si>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</si>
  <si>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</si>
  <si>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</si>
  <si>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</si>
  <si>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</si>
  <si>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</si>
  <si>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</si>
  <si>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</si>
  <si>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</si>
  <si>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</si>
  <si>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</si>
  <si>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</si>
  <si>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</si>
  <si>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</si>
  <si>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</si>
  <si>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</si>
  <si>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</si>
  <si>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</si>
  <si>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</si>
  <si>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</si>
  <si>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</si>
  <si>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</si>
  <si>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</si>
  <si>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</si>
  <si>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</si>
  <si>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</si>
  <si>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</si>
  <si>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</si>
  <si>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</si>
  <si>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</si>
  <si>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</si>
  <si>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</si>
  <si>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</si>
  <si>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</si>
  <si>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</si>
  <si>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</si>
  <si>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</si>
  <si>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</si>
  <si>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</si>
  <si>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</si>
  <si>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</si>
  <si>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</si>
  <si>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</si>
  <si>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</si>
  <si>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</si>
  <si>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</si>
  <si>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</si>
  <si>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</si>
  <si>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</si>
  <si>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</si>
  <si>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</si>
  <si>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</si>
  <si>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</si>
  <si>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</si>
  <si>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</si>
  <si>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</si>
  <si>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</si>
  <si>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</si>
  <si>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</si>
  <si>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</si>
  <si>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</si>
  <si>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</si>
  <si>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</si>
  <si>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</si>
  <si>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</si>
  <si>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</si>
  <si>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</si>
  <si>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</si>
  <si>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</si>
  <si>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</si>
  <si>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</si>
  <si>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</si>
  <si>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</si>
  <si>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</si>
  <si>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</si>
  <si>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</si>
  <si>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</si>
  <si>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</si>
  <si>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</si>
  <si>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</si>
  <si>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</si>
  <si>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</si>
  <si>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</si>
  <si>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</si>
  <si>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</si>
  <si>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</si>
  <si>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</si>
  <si>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</si>
  <si>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</si>
  <si>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</si>
  <si>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</si>
  <si>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</si>
  <si>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</si>
  <si>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</si>
  <si>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</si>
  <si>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</si>
  <si>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</si>
  <si>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</si>
  <si>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</si>
  <si>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</si>
  <si>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</si>
  <si>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</si>
  <si>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</si>
  <si>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</si>
  <si>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</si>
  <si>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</si>
  <si>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</si>
  <si>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</si>
  <si>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</si>
  <si>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</si>
  <si>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</si>
  <si>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</si>
  <si>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</si>
  <si>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</si>
  <si>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</si>
  <si>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</si>
  <si>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</si>
  <si>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</si>
  <si>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</si>
  <si>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</si>
  <si>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</si>
  <si>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</si>
  <si>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</si>
  <si>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</si>
  <si>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</si>
  <si>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</si>
  <si>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</si>
  <si>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</si>
  <si>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</si>
  <si>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</si>
  <si>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</si>
  <si>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</si>
  <si>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</si>
  <si>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</si>
  <si>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</si>
  <si>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</si>
  <si>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</si>
  <si>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</si>
  <si>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</si>
  <si>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</si>
  <si>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</si>
  <si>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</si>
  <si>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</si>
  <si>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</si>
  <si>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</si>
  <si>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</si>
  <si>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</si>
  <si>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</si>
  <si>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</si>
  <si>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</si>
  <si>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</si>
  <si>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</si>
  <si>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</si>
  <si>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</si>
  <si>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</si>
  <si>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</si>
  <si>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</si>
  <si>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</si>
  <si>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</si>
  <si>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</si>
  <si>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</si>
  <si>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</si>
  <si>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</si>
  <si>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</si>
  <si>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</si>
  <si>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</si>
  <si>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</si>
  <si>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</si>
  <si>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</si>
  <si>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</si>
  <si>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</si>
  <si>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</si>
  <si>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</si>
  <si>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</si>
  <si>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</si>
  <si>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</si>
  <si>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</si>
  <si>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</si>
  <si>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</si>
  <si>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</si>
  <si>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</si>
  <si>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</si>
  <si>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</si>
  <si>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</si>
  <si>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</si>
  <si>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</si>
  <si>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</si>
  <si>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</si>
  <si>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</si>
  <si>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</si>
  <si>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</si>
  <si>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</si>
  <si>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</si>
  <si>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</si>
  <si>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</si>
  <si>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</si>
  <si>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</si>
  <si>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</si>
  <si>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</si>
  <si>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</si>
  <si>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</si>
  <si>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</si>
  <si>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</si>
  <si>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</si>
  <si>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</si>
  <si>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</si>
  <si>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</si>
  <si>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</si>
  <si>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</si>
  <si>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</si>
  <si>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</si>
  <si>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</si>
  <si>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</si>
  <si>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</si>
  <si>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</si>
  <si>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</si>
  <si>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</si>
  <si>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</si>
  <si>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</si>
  <si>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</si>
  <si>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</si>
  <si>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</si>
  <si>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</si>
  <si>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</si>
  <si>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</si>
  <si>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</si>
  <si>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</si>
  <si>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</si>
  <si>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</si>
  <si>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</si>
  <si>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</si>
  <si>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</si>
  <si>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</si>
  <si>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</si>
  <si>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</si>
  <si>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</si>
  <si>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</si>
  <si>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</si>
  <si>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</si>
  <si>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</si>
  <si>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</si>
  <si>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</si>
  <si>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</si>
  <si>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</si>
  <si>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</si>
  <si>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</si>
  <si>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</si>
  <si>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</si>
  <si>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</si>
  <si>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</si>
  <si>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</si>
  <si>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</si>
  <si>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</si>
  <si>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</si>
  <si>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</si>
  <si>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</si>
  <si>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</si>
  <si>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</si>
  <si>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</si>
  <si>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</si>
  <si>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</si>
  <si>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</si>
  <si>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</si>
  <si>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</si>
  <si>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</si>
  <si>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</si>
  <si>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</si>
  <si>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</si>
  <si>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</si>
  <si>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</si>
  <si>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</si>
  <si>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</si>
  <si>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</si>
  <si>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</si>
  <si>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</si>
  <si>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</si>
  <si>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</si>
  <si>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</si>
  <si>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</si>
  <si>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</si>
  <si>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</si>
  <si>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</si>
  <si>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</si>
  <si>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</si>
  <si>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</si>
  <si>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</si>
  <si>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</si>
  <si>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</si>
  <si>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</si>
  <si>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</si>
  <si>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</si>
  <si>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</si>
  <si>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</si>
  <si>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</si>
  <si>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</si>
  <si>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</si>
  <si>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</si>
  <si>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</si>
  <si>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</si>
  <si>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</si>
  <si>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</si>
  <si>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</si>
  <si>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</si>
  <si>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</si>
  <si>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</si>
  <si>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</si>
  <si>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</si>
  <si>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</si>
  <si>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</si>
  <si>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</si>
  <si>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</si>
  <si>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</si>
  <si>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</si>
  <si>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</si>
  <si>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</si>
  <si>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</si>
  <si>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</si>
  <si>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</si>
  <si>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</si>
  <si>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</si>
  <si>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</si>
  <si>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</si>
  <si>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</si>
  <si>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</si>
  <si>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</si>
  <si>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</si>
  <si>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</si>
  <si>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</si>
  <si>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</si>
  <si>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</si>
  <si>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</si>
  <si>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</si>
  <si>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</si>
  <si>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</si>
  <si>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</si>
  <si>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</si>
  <si>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</si>
  <si>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</si>
  <si>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</si>
  <si>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</si>
  <si>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</si>
  <si>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</si>
  <si>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</si>
  <si>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</si>
  <si>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</si>
  <si>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</si>
  <si>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</si>
  <si>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</si>
  <si>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</si>
  <si>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</si>
  <si>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</si>
  <si>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</si>
  <si>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</si>
  <si>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</si>
  <si>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</si>
  <si>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</si>
  <si>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</si>
  <si>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</si>
  <si>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</si>
  <si>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</si>
  <si>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</si>
  <si>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</si>
  <si>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</si>
  <si>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</si>
  <si>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</si>
  <si>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</si>
  <si>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</si>
  <si>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</si>
  <si>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</si>
  <si>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</si>
  <si>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</si>
  <si>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</si>
  <si>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</si>
  <si>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</si>
  <si>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</si>
  <si>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</si>
  <si>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</si>
  <si>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</si>
  <si>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</si>
  <si>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</si>
  <si>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</si>
  <si>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</si>
  <si>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</si>
  <si>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</si>
  <si>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</si>
  <si>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</si>
  <si>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</si>
  <si>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</si>
  <si>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</si>
  <si>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</si>
  <si>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</si>
  <si>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</si>
  <si>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</si>
  <si>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</si>
  <si>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</si>
  <si>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</si>
  <si>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</si>
  <si>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</si>
  <si>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</si>
  <si>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</si>
  <si>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</si>
  <si>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</si>
  <si>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</si>
  <si>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</si>
  <si>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</si>
  <si>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</si>
  <si>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</si>
  <si>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</si>
  <si>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</si>
  <si>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</si>
  <si>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</si>
  <si>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</si>
  <si>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</si>
  <si>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</si>
  <si>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</si>
  <si>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</si>
  <si>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</si>
  <si>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</si>
  <si>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</si>
  <si>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</si>
  <si>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</si>
  <si>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</si>
  <si>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</si>
  <si>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</si>
  <si>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</si>
  <si>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</si>
  <si>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</si>
  <si>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</si>
  <si>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</si>
  <si>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</si>
  <si>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</si>
  <si>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</si>
  <si>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</si>
  <si>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</si>
  <si>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</si>
  <si>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</si>
  <si>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</si>
  <si>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</si>
  <si>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</si>
  <si>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</si>
  <si>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</si>
  <si>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</si>
  <si>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</si>
  <si>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</si>
  <si>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</si>
  <si>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</si>
  <si>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</si>
  <si>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</si>
  <si>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</si>
  <si>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</si>
  <si>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</si>
  <si>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</si>
  <si>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</si>
  <si>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</si>
  <si>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</si>
  <si>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</si>
  <si>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</si>
  <si>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</si>
  <si>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</si>
  <si>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</si>
  <si>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</si>
  <si>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</si>
  <si>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</si>
  <si>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</si>
  <si>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</si>
  <si>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</si>
  <si>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</si>
  <si>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</si>
  <si>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</si>
  <si>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</si>
  <si>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</si>
  <si>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</si>
  <si>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</si>
  <si>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</si>
  <si>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</si>
  <si>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</si>
  <si>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</si>
  <si>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</si>
  <si>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</si>
  <si>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</si>
  <si>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</si>
  <si>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</si>
  <si>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</si>
  <si>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</si>
  <si>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</si>
  <si>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</si>
  <si>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</si>
  <si>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</si>
  <si>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</si>
  <si>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</si>
  <si>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</si>
  <si>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</si>
  <si>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</si>
  <si>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</si>
  <si>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</si>
  <si>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</si>
  <si>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</si>
  <si>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</si>
  <si>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</si>
  <si>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</si>
  <si>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</si>
  <si>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</si>
  <si>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</si>
  <si>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</si>
  <si>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</si>
  <si>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</si>
  <si>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</si>
  <si>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</si>
  <si>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</si>
  <si>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</si>
  <si>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</si>
  <si>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</si>
  <si>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</si>
  <si>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</si>
  <si>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</si>
  <si>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</si>
  <si>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</si>
  <si>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</si>
  <si>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</si>
  <si>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</si>
  <si>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</si>
  <si>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</si>
  <si>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</si>
  <si>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</si>
  <si>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</si>
  <si>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</si>
  <si>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</si>
  <si>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</si>
  <si>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</si>
  <si>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</si>
  <si>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</si>
  <si>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</si>
  <si>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</si>
  <si>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</si>
  <si>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</si>
  <si>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</si>
  <si>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</si>
  <si>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</si>
  <si>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</si>
  <si>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</si>
  <si>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</si>
  <si>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</si>
  <si>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</si>
  <si>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</si>
  <si>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</si>
  <si>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</si>
  <si>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</si>
  <si>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</si>
  <si>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</si>
  <si>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</si>
  <si>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</si>
  <si>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</si>
  <si>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</si>
  <si>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</si>
  <si>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</si>
  <si>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</si>
  <si>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</si>
  <si>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</si>
  <si>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</si>
  <si>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</si>
  <si>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</si>
  <si>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</si>
  <si>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</si>
  <si>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</si>
  <si>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</si>
  <si>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</si>
  <si>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</si>
  <si>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</si>
  <si>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</si>
  <si>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</si>
  <si>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</si>
  <si>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</si>
  <si>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</si>
  <si>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</si>
  <si>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</si>
  <si>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</si>
  <si>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</si>
  <si>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</si>
  <si>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</si>
  <si>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</si>
  <si>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</si>
  <si>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</si>
  <si>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</si>
  <si>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</si>
  <si>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</si>
  <si>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</si>
  <si>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</si>
  <si>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</si>
  <si>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</si>
  <si>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</si>
  <si>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</si>
  <si>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</si>
  <si>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</si>
  <si>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</si>
  <si>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</si>
  <si>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</si>
  <si>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</si>
  <si>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</si>
  <si>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</si>
  <si>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</si>
  <si>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</si>
  <si>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</si>
  <si>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</si>
  <si>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</si>
  <si>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</si>
  <si>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</si>
  <si>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</si>
  <si>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</si>
  <si>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</si>
  <si>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</si>
  <si>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</si>
  <si>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</si>
  <si>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</si>
  <si>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</si>
  <si>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</si>
  <si>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</si>
  <si>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</si>
  <si>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</si>
  <si>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</si>
  <si>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</si>
  <si>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</si>
  <si>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</si>
  <si>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</si>
  <si>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</si>
  <si>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</si>
  <si>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</si>
  <si>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</si>
  <si>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</si>
  <si>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</si>
  <si>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</si>
  <si>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</si>
  <si>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</si>
  <si>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</si>
  <si>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</si>
  <si>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</si>
  <si>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</si>
  <si>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</si>
  <si>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</si>
  <si>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</si>
  <si>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</si>
  <si>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</si>
  <si>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</si>
  <si>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</si>
  <si>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</si>
  <si>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</si>
  <si>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</si>
  <si>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</si>
  <si>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</si>
  <si>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</si>
  <si>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</si>
  <si>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</si>
  <si>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</si>
  <si>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</si>
  <si>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</si>
  <si>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</si>
  <si>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</si>
  <si>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</si>
  <si>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</si>
  <si>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</si>
  <si>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</si>
  <si>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</si>
  <si>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</si>
  <si>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</si>
  <si>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</si>
  <si>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</si>
  <si>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</si>
  <si>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</si>
  <si>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</si>
  <si>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</si>
  <si>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</si>
  <si>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</si>
  <si>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</si>
  <si>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</si>
  <si>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</si>
  <si>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</si>
  <si>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</si>
  <si>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</si>
  <si>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</si>
  <si>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</si>
  <si>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</si>
  <si>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</si>
  <si>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</si>
  <si>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</si>
  <si>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</si>
  <si>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</si>
  <si>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</si>
  <si>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</si>
  <si>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</si>
  <si>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</si>
  <si>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</si>
  <si>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</si>
  <si>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</si>
  <si>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</si>
  <si>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</si>
  <si>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</si>
  <si>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</si>
  <si>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</si>
  <si>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</si>
  <si>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</si>
  <si>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</si>
  <si>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</si>
  <si>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</si>
  <si>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</si>
  <si>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</si>
  <si>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</si>
  <si>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</si>
  <si>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</si>
  <si>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</si>
  <si>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</si>
  <si>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</si>
  <si>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</si>
  <si>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</si>
  <si>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</si>
  <si>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</si>
  <si>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</si>
  <si>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</si>
  <si>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</si>
  <si>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</si>
  <si>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</si>
  <si>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</si>
  <si>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</si>
  <si>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</si>
  <si>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</si>
  <si>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</si>
  <si>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</si>
  <si>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</si>
  <si>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</si>
  <si>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</si>
  <si>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</si>
  <si>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</si>
  <si>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</si>
  <si>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</si>
  <si>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</si>
  <si>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</si>
  <si>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</si>
  <si>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</si>
  <si>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</si>
  <si>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</si>
  <si>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</si>
  <si>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</si>
  <si>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</si>
  <si>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</si>
  <si>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</si>
  <si>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</si>
  <si>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</si>
  <si>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</si>
  <si>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</si>
  <si>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</si>
  <si>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</si>
  <si>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</si>
  <si>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</si>
  <si>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</si>
  <si>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</si>
  <si>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</si>
  <si>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</si>
  <si>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</si>
  <si>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</si>
  <si>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</si>
  <si>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</si>
  <si>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</si>
  <si>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</si>
  <si>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</si>
  <si>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</si>
  <si>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</si>
  <si>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</si>
  <si>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</si>
  <si>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</si>
  <si>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</si>
  <si>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</si>
  <si>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</si>
  <si>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</si>
  <si>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</si>
  <si>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</si>
  <si>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</si>
  <si>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</si>
  <si>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</si>
  <si>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</si>
  <si>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</si>
  <si>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</si>
  <si>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</si>
  <si>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</si>
  <si>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</si>
  <si>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</si>
  <si>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</si>
  <si>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</si>
  <si>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</si>
  <si>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</si>
  <si>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</si>
  <si>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</si>
  <si>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</si>
  <si>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</si>
  <si>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</si>
  <si>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</si>
  <si>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</si>
  <si>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</si>
  <si>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</si>
  <si>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</si>
  <si>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</si>
  <si>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</si>
  <si>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</si>
  <si>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</si>
  <si>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</si>
  <si>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</si>
  <si>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</si>
  <si>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</si>
  <si>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</si>
  <si>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</si>
  <si>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</si>
  <si>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</si>
  <si>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</si>
  <si>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</si>
  <si>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</si>
  <si>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</si>
  <si>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</si>
  <si>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</si>
  <si>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</si>
  <si>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</si>
  <si>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</si>
  <si>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</si>
  <si>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</si>
  <si>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</si>
  <si>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</si>
  <si>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</si>
  <si>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</si>
  <si>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</si>
  <si>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</si>
  <si>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</si>
  <si>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</si>
  <si>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</si>
  <si>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</si>
  <si>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</si>
  <si>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</si>
  <si>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</si>
  <si>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</si>
  <si>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</si>
  <si>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</si>
  <si>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</si>
  <si>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</si>
  <si>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</si>
  <si>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</si>
  <si>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</si>
  <si>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</si>
  <si>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</si>
  <si>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</si>
  <si>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</si>
  <si>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</si>
  <si>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</si>
  <si>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</si>
  <si>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</si>
  <si>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</si>
  <si>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</si>
  <si>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</si>
  <si>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</si>
  <si>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</si>
  <si>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</si>
  <si>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</si>
  <si>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</si>
  <si>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</si>
  <si>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</si>
  <si>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</si>
  <si>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</si>
  <si>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</si>
  <si>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</si>
  <si>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</si>
  <si>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</si>
  <si>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</si>
  <si>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</si>
  <si>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</si>
  <si>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</si>
  <si>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</si>
  <si>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</si>
  <si>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</si>
  <si>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</si>
  <si>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</si>
  <si>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</si>
  <si>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</si>
  <si>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</si>
  <si>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</si>
  <si>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</si>
  <si>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</si>
  <si>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</si>
  <si>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</si>
  <si>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</si>
  <si>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</si>
  <si>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</si>
  <si>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</si>
  <si>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</si>
  <si>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</si>
  <si>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</si>
  <si>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</si>
  <si>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</si>
  <si>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</si>
  <si>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</si>
  <si>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</si>
  <si>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</si>
  <si>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</si>
  <si>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</si>
  <si>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</si>
  <si>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</si>
  <si>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</si>
  <si>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</si>
  <si>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</si>
  <si>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</si>
  <si>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</si>
  <si>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</si>
  <si>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</si>
  <si>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</si>
  <si>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</si>
  <si>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</si>
  <si>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</si>
  <si>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</si>
  <si>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</si>
  <si>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</si>
  <si>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</si>
  <si>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</si>
  <si>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</si>
  <si>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</si>
  <si>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</si>
  <si>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</si>
  <si>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</si>
  <si>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</si>
  <si>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</si>
  <si>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</si>
  <si>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</si>
  <si>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</si>
  <si>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</si>
  <si>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</si>
  <si>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</si>
  <si>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</si>
  <si>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</si>
  <si>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</si>
  <si>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</si>
  <si>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</si>
  <si>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</si>
  <si>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</si>
  <si>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</si>
  <si>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</si>
  <si>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</si>
  <si>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</si>
  <si>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</si>
  <si>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</si>
  <si>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</si>
  <si>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</si>
  <si>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</si>
  <si>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</si>
  <si>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</si>
  <si>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</si>
  <si>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</si>
  <si>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</si>
  <si>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</si>
  <si>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</si>
  <si>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</si>
  <si>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</si>
  <si>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</si>
  <si>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</si>
  <si>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</si>
  <si>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</si>
  <si>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</si>
  <si>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</si>
  <si>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</si>
  <si>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</si>
  <si>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</si>
  <si>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</si>
  <si>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</si>
  <si>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</si>
  <si>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</si>
  <si>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</si>
  <si>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</si>
  <si>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</si>
  <si>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</si>
  <si>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</si>
  <si>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</si>
  <si>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</si>
  <si>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</si>
  <si>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</si>
  <si>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</si>
  <si>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</si>
  <si>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</si>
  <si>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</si>
  <si>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</si>
  <si>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</si>
  <si>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</si>
  <si>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</si>
  <si>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</si>
  <si>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</si>
  <si>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</si>
  <si>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</si>
  <si>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</si>
  <si>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</si>
  <si>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</si>
  <si>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</si>
  <si>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</si>
  <si>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</si>
  <si>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</si>
  <si>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</si>
  <si>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</si>
  <si>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</si>
  <si>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</si>
  <si>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</si>
  <si>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</si>
  <si>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</si>
  <si>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</si>
  <si>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</si>
  <si>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</si>
  <si>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</si>
  <si>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</si>
  <si>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</si>
  <si>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</si>
  <si>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</si>
  <si>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</si>
  <si>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</si>
  <si>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</si>
  <si>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</si>
  <si>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</si>
  <si>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</si>
  <si>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</si>
  <si>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</si>
  <si>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</si>
  <si>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</si>
  <si>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</si>
  <si>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</si>
  <si>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</si>
  <si>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</si>
  <si>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</si>
  <si>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</si>
  <si>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</si>
  <si>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</si>
  <si>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</si>
  <si>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</si>
  <si>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</si>
  <si>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</si>
  <si>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</si>
  <si>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</si>
  <si>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</si>
  <si>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</si>
  <si>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</si>
  <si>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</si>
  <si>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</si>
  <si>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</si>
  <si>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</si>
  <si>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</si>
  <si>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</si>
  <si>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</si>
  <si>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</si>
  <si>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</si>
  <si>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</si>
  <si>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</si>
  <si>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</si>
  <si>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</si>
  <si>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</si>
  <si>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</si>
  <si>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</si>
  <si>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</si>
  <si>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</si>
  <si>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</si>
  <si>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</si>
  <si>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</si>
  <si>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</si>
  <si>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</si>
  <si>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</si>
  <si>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</si>
  <si>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</si>
  <si>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</si>
  <si>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</si>
  <si>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</si>
  <si>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</si>
  <si>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</si>
  <si>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</si>
  <si>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</si>
  <si>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</si>
  <si>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</si>
  <si>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</si>
  <si>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</si>
  <si>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</si>
  <si>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</si>
  <si>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</si>
  <si>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</si>
  <si>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</si>
  <si>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</si>
  <si>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</si>
  <si>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</si>
  <si>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</si>
  <si>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</si>
  <si>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</si>
  <si>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</si>
  <si>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</si>
  <si>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</si>
  <si>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</si>
  <si>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</si>
  <si>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</si>
  <si>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</si>
  <si>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</si>
  <si>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</si>
  <si>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</si>
  <si>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</si>
  <si>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</si>
  <si>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</si>
  <si>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</si>
  <si>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</si>
  <si>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</si>
  <si>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</si>
  <si>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</si>
  <si>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</si>
  <si>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</si>
  <si>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</si>
  <si>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</si>
  <si>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</si>
  <si>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</si>
  <si>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</si>
  <si>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</si>
  <si>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</si>
  <si>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</si>
  <si>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</si>
  <si>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</si>
  <si>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</si>
  <si>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</si>
  <si>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</si>
  <si>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</si>
  <si>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</si>
  <si>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</si>
  <si>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</si>
  <si>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</si>
  <si>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</si>
  <si>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</si>
  <si>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</si>
  <si>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</si>
  <si>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</si>
  <si>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</si>
  <si>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</si>
  <si>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</si>
  <si>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</si>
  <si>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</si>
  <si>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</si>
  <si>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</si>
  <si>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</si>
  <si>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</si>
  <si>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</si>
  <si>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</si>
  <si>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</si>
  <si>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</si>
  <si>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</si>
  <si>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</si>
  <si>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</si>
  <si>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</si>
  <si>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</si>
  <si>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</si>
  <si>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</si>
  <si>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</si>
  <si>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</si>
  <si>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</si>
  <si>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</si>
  <si>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</si>
  <si>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</si>
  <si>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</si>
  <si>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</si>
  <si>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</si>
  <si>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</si>
  <si>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</si>
  <si>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</si>
  <si>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</si>
  <si>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</si>
  <si>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</si>
  <si>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</si>
  <si>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</si>
  <si>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</si>
  <si>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</si>
  <si>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</si>
  <si>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</si>
  <si>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</si>
  <si>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</si>
  <si>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</si>
  <si>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</si>
  <si>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</si>
  <si>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</si>
  <si>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</si>
  <si>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</si>
  <si>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</si>
  <si>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</si>
  <si>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</si>
  <si>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</si>
  <si>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</si>
  <si>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</si>
  <si>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</si>
  <si>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</si>
  <si>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</si>
  <si>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</si>
  <si>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</si>
  <si>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</si>
  <si>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</si>
  <si>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</si>
  <si>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</si>
  <si>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</si>
  <si>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</si>
  <si>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</si>
  <si>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</si>
  <si>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</si>
  <si>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</si>
  <si>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</si>
  <si>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</si>
  <si>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</si>
  <si>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</si>
  <si>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</si>
  <si>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</si>
  <si>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</si>
  <si>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</si>
  <si>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</si>
  <si>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</si>
  <si>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</si>
  <si>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</si>
  <si>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</si>
  <si>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</si>
  <si>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</si>
  <si>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</si>
  <si>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</si>
  <si>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</si>
  <si>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</si>
  <si>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</si>
  <si>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</si>
  <si>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</si>
  <si>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</si>
  <si>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</si>
  <si>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</si>
  <si>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</si>
  <si>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</si>
  <si>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</si>
  <si>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</si>
  <si>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</si>
  <si>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</si>
  <si>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</si>
  <si>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</si>
  <si>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</si>
  <si>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</si>
  <si>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</si>
  <si>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</si>
  <si>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</si>
  <si>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</si>
  <si>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</si>
  <si>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</si>
  <si>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</si>
  <si>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</si>
  <si>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</si>
  <si>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</si>
  <si>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</si>
  <si>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</si>
  <si>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</si>
  <si>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</si>
  <si>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</si>
  <si>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</si>
  <si>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</si>
  <si>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</si>
  <si>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</si>
  <si>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</si>
  <si>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</si>
  <si>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</si>
  <si>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</si>
  <si>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</si>
  <si>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</si>
  <si>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</si>
  <si>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</si>
  <si>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</si>
  <si>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</si>
  <si>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</si>
  <si>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</si>
  <si>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</si>
  <si>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</si>
  <si>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</si>
  <si>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</si>
  <si>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</si>
  <si>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</si>
  <si>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</si>
  <si>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</si>
  <si>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</si>
  <si>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</si>
  <si>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</si>
  <si>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</si>
  <si>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</si>
  <si>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</si>
  <si>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</si>
  <si>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</si>
  <si>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</si>
  <si>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</si>
  <si>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</si>
  <si>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</si>
  <si>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</si>
  <si>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</si>
  <si>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</si>
  <si>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</si>
  <si>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</si>
  <si>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</si>
  <si>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</si>
  <si>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</si>
  <si>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</si>
  <si>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</si>
  <si>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</si>
  <si>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</si>
  <si>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</si>
  <si>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</si>
  <si>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</si>
  <si>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</si>
  <si>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</si>
  <si>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</si>
  <si>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</si>
  <si>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</si>
  <si>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</si>
  <si>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</si>
  <si>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</si>
  <si>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</si>
  <si>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</si>
  <si>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</si>
  <si>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</si>
  <si>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</si>
  <si>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</si>
  <si>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</si>
  <si>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</si>
  <si>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</si>
  <si>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</si>
  <si>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</si>
  <si>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</si>
  <si>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</si>
  <si>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</si>
  <si>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</si>
  <si>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</si>
  <si>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</si>
  <si>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</si>
  <si>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</si>
  <si>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</si>
  <si>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</si>
  <si>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</si>
  <si>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</si>
  <si>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</si>
  <si>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</si>
  <si>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</si>
  <si>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</si>
  <si>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</si>
  <si>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</si>
  <si>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</si>
  <si>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</si>
  <si>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</si>
  <si>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</si>
  <si>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</si>
  <si>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</si>
  <si>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</si>
  <si>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</si>
  <si>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</si>
  <si>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</si>
  <si>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</si>
  <si>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</si>
  <si>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</si>
  <si>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</si>
  <si>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</si>
  <si>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</si>
  <si>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</si>
  <si>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</si>
  <si>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</si>
  <si>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</si>
  <si>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</si>
  <si>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</si>
  <si>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</si>
  <si>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</si>
  <si>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</si>
  <si>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</si>
  <si>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</si>
  <si>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</si>
  <si>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</si>
  <si>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</si>
  <si>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</si>
  <si>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</si>
  <si>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</si>
  <si>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</si>
  <si>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</si>
  <si>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</si>
  <si>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</si>
  <si>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</si>
  <si>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</si>
  <si>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</si>
  <si>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</si>
  <si>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</si>
  <si>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</si>
  <si>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</si>
  <si>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</si>
  <si>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</si>
  <si>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</si>
  <si>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</si>
  <si>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</si>
  <si>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</si>
  <si>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</si>
  <si>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</si>
  <si>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</si>
  <si>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</si>
  <si>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</si>
  <si>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</si>
  <si>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</si>
  <si>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</si>
  <si>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</si>
  <si>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</si>
  <si>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</si>
  <si>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</si>
  <si>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</si>
  <si>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</si>
  <si>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</si>
  <si>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</si>
  <si>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</si>
  <si>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</si>
  <si>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</si>
  <si>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</si>
  <si>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</si>
  <si>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</si>
  <si>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</si>
  <si>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</si>
  <si>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</si>
  <si>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</si>
  <si>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</si>
  <si>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</si>
  <si>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</si>
  <si>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</si>
  <si>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</si>
  <si>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</si>
  <si>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</si>
  <si>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</si>
  <si>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</si>
  <si>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</si>
  <si>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</si>
  <si>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</si>
  <si>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</si>
  <si>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</si>
  <si>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</si>
  <si>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</si>
  <si>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</si>
  <si>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</si>
  <si>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</si>
  <si>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</si>
  <si>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</si>
  <si>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</si>
  <si>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</si>
  <si>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</si>
  <si>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</si>
  <si>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</si>
  <si>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</si>
  <si>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</si>
  <si>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</si>
  <si>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</si>
  <si>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</si>
  <si>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</si>
  <si>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</si>
  <si>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</si>
  <si>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</si>
  <si>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</si>
  <si>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</si>
  <si>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</si>
  <si>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</si>
  <si>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</si>
  <si>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</si>
  <si>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</si>
  <si>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</si>
  <si>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</si>
  <si>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</si>
  <si>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</si>
  <si>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</si>
  <si>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</si>
  <si>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</si>
  <si>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</si>
  <si>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</si>
  <si>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</si>
  <si>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</si>
  <si>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</si>
  <si>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</si>
  <si>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</si>
  <si>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</si>
  <si>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</si>
  <si>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</si>
  <si>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</si>
  <si>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</si>
  <si>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</si>
  <si>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</si>
  <si>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</si>
  <si>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</si>
  <si>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</si>
  <si>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</si>
  <si>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</si>
  <si>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</si>
  <si>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</si>
  <si>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</si>
  <si>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</si>
  <si>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</si>
  <si>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</si>
  <si>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</si>
  <si>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</si>
  <si>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</si>
  <si>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</si>
  <si>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</si>
  <si>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</si>
  <si>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</si>
  <si>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</si>
  <si>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</si>
  <si>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</si>
  <si>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</si>
  <si>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</si>
  <si>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</si>
  <si>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</si>
  <si>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</si>
  <si>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</si>
  <si>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</si>
  <si>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</si>
  <si>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</si>
  <si>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</si>
  <si>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</si>
  <si>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</si>
  <si>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</si>
  <si>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</si>
  <si>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</si>
  <si>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</si>
  <si>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</si>
  <si>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</si>
  <si>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</si>
  <si>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</si>
  <si>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</si>
  <si>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</si>
  <si>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</si>
  <si>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</si>
  <si>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</si>
  <si>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</si>
  <si>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</si>
  <si>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</si>
  <si>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</si>
  <si>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</si>
  <si>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</si>
  <si>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</si>
  <si>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</si>
  <si>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</si>
  <si>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</si>
  <si>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</si>
  <si>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</si>
  <si>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</si>
  <si>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</si>
  <si>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</si>
  <si>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</si>
  <si>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</si>
  <si>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</si>
  <si>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</si>
  <si>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</si>
  <si>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</si>
  <si>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</si>
  <si>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</si>
  <si>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</si>
  <si>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</si>
  <si>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</si>
  <si>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</si>
  <si>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MACOUPIN</t>
  </si>
  <si>
    <t>70 N. DENEEN ST.</t>
  </si>
  <si>
    <t>STAUNTON</t>
  </si>
  <si>
    <t>LOY MILLER TALLEY, PC</t>
  </si>
  <si>
    <t>KENNETH E. LOY, CPA</t>
  </si>
  <si>
    <t>#2 CROSSROADS CT.</t>
  </si>
  <si>
    <t>ALTON</t>
  </si>
  <si>
    <t>IL</t>
  </si>
  <si>
    <t>618-465-1196</t>
  </si>
  <si>
    <t>618-465-2900</t>
  </si>
  <si>
    <t>060-003363</t>
  </si>
  <si>
    <t>KEN@LMTCPAS.COM</t>
  </si>
  <si>
    <t>ALISON STORM</t>
  </si>
  <si>
    <t>ASTORM@STAUNTONSCHOOLS.ORG</t>
  </si>
  <si>
    <t>618-635-8230</t>
  </si>
  <si>
    <t>618-635-4637</t>
  </si>
  <si>
    <t>MICHELLE MUELLER</t>
  </si>
  <si>
    <t>MMUELLER@ROE40.COM</t>
  </si>
  <si>
    <t>217-854-4016</t>
  </si>
  <si>
    <t>217-854-2032</t>
  </si>
  <si>
    <t>10-3199 Dept. of Rehab Services $10,148</t>
  </si>
  <si>
    <t>10-4999 Payment for VI &amp; HI Services $70,140</t>
  </si>
  <si>
    <t>x</t>
  </si>
  <si>
    <t>UNITED STATES DEPARTMENT OF EDUCATION -</t>
  </si>
  <si>
    <t>PASS-TRHOUGH FROM ILLINOIS STATE BOARD OF EDUCATION</t>
  </si>
  <si>
    <t>(M) IDEA FLOW-THROUGH FED</t>
  </si>
  <si>
    <t xml:space="preserve"> IDEA FLOW-THROUGH FED</t>
  </si>
  <si>
    <t>(M)  IDEA PRE-SCHOOL</t>
  </si>
  <si>
    <t xml:space="preserve"> IDEA PRE-SCHOOL</t>
  </si>
  <si>
    <t>18-4620-00</t>
  </si>
  <si>
    <t>17-4620-00</t>
  </si>
  <si>
    <t>18-4600-00</t>
  </si>
  <si>
    <t>17-4600-00</t>
  </si>
  <si>
    <t>US DEPARTMENT OF HEALTH &amp; HUMAN SERVICES:</t>
  </si>
  <si>
    <t>PASS-THROUGH ILLINOIS DEPARTMENT OF HEALTHCARE &amp; FAMILY SERVICES</t>
  </si>
  <si>
    <t xml:space="preserve">  MEDICAID ADMINISTRATIVE OUTREACH</t>
  </si>
  <si>
    <t xml:space="preserve">    TOTAL US DEPARTMENT OF HEALT H &amp; HUMAN SERVICES</t>
  </si>
  <si>
    <t>TOTAL - UNITED STATES DEPARTMENT OF EDUCATION -</t>
  </si>
  <si>
    <t>18-4991-00</t>
  </si>
  <si>
    <t>TOTAL FEDERAL FUNDS:</t>
  </si>
  <si>
    <t xml:space="preserve"> PASS-THROUGH DEPARTMENT OF HEALTHCARE &amp; FAMILY SERVICES</t>
  </si>
  <si>
    <t>TOTAL FEDERAL FUNDS</t>
  </si>
  <si>
    <t>PASS-THROUGH UNITED STATES DEPARTMENT OF EDUCATION -</t>
  </si>
  <si>
    <t>IDEA FLOW-THROUGH FED/ STAUNTON CUSD #6</t>
  </si>
  <si>
    <t>IDEA FLOW-THROUGH FED/ MT OLIVE CUSD #5</t>
  </si>
  <si>
    <t>IDEA FLOW-THROUGH FED/ GILLESPIE CUSD #7</t>
  </si>
  <si>
    <t>IDEA FLOW-THROUGH FED/ BUNKER HILL CUSD #8</t>
  </si>
  <si>
    <t>IDEA PRE-SCHOOL/ STAUNTON CUSD #6</t>
  </si>
  <si>
    <t>IDEA PRE-SCHOOL/ MT OLIVE CUSD #5</t>
  </si>
  <si>
    <t>IDEA PRE-SCHOOL/ GILLESPIE CUSD #7</t>
  </si>
  <si>
    <t>IDEA PRE-SCHOOL/ BUNKER HILL CUSD #8</t>
  </si>
  <si>
    <r>
      <t xml:space="preserve">Of the federal expenditures presented in the schedule, </t>
    </r>
    <r>
      <rPr>
        <b/>
        <sz val="9"/>
        <rFont val="Calibri"/>
        <family val="2"/>
        <scheme val="minor"/>
      </rPr>
      <t>South Macoupin Association for Special Education</t>
    </r>
    <r>
      <rPr>
        <sz val="9"/>
        <rFont val="Calibri"/>
        <family val="2"/>
        <scheme val="minor"/>
      </rPr>
      <t xml:space="preserve"> provided federal awards to subrecipients as follows:</t>
    </r>
  </si>
  <si>
    <r>
      <t xml:space="preserve">The accompanying Schedule of Expenditures of Federal Awards includes the federal grant activity of </t>
    </r>
    <r>
      <rPr>
        <b/>
        <sz val="9"/>
        <rFont val="Calibri"/>
        <family val="2"/>
        <scheme val="minor"/>
      </rPr>
      <t>South Macoupin Association for Special Education</t>
    </r>
    <r>
      <rPr>
        <sz val="9"/>
        <rFont val="Calibri"/>
        <family val="2"/>
        <scheme val="minor"/>
      </rPr>
      <t xml:space="preserve"> and is presented on the </t>
    </r>
    <r>
      <rPr>
        <b/>
        <sz val="9"/>
        <rFont val="Calibri"/>
        <family val="2"/>
        <scheme val="minor"/>
      </rPr>
      <t>Modified Cash Basis</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</si>
  <si>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ADVERSE</t>
  </si>
  <si>
    <t>UNMODIFIED</t>
  </si>
  <si>
    <t>IDEA FLOW-THROUGH FED</t>
  </si>
  <si>
    <t>IDEA PRE-SCHOOL</t>
  </si>
  <si>
    <t>NO FINDINGS FOR FISCAL YEAR ENDED JUNE 30, 2018</t>
  </si>
  <si>
    <t>NONE</t>
  </si>
  <si>
    <t>South Macoupin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</si>
</sst>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9D440858-9467-4511-B2AF-20FFA87BB3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c r="C5" s="26" t="s">
        <v>966</v>
      </c>
      <c r="D5" s="84"/>
      <c r="E5" s="84"/>
      <c r="H5" s="38"/>
      <c r="I5" s="2009" t="s">
        <v>701</v>
      </c>
      <c r="J5" s="2008"/>
      <c r="K5" s="2008"/>
      <c r="L5" s="2008"/>
      <c r="M5" s="2008"/>
      <c r="N5" s="2008"/>
      <c r="O5" s="2008"/>
      <c r="P5" s="2008"/>
      <c r="Q5" s="2008"/>
      <c r="R5" s="2008"/>
      <c r="S5" s="2008"/>
    </row>
    <row r="6" spans="1:28" ht="14.1" customHeight="1" x14ac:dyDescent="0.2">
      <c r="B6" s="104" t="s">
        <v>2075</v>
      </c>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2075</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40056801060</v>
      </c>
      <c r="B13" s="2035"/>
      <c r="C13" s="2035"/>
      <c r="D13" s="2035"/>
      <c r="E13" s="2035"/>
      <c r="F13" s="2035"/>
      <c r="G13" s="2035"/>
      <c r="H13" s="2036"/>
      <c r="I13" s="31"/>
      <c r="J13" s="30"/>
      <c r="K13" s="28"/>
      <c r="L13" s="30"/>
      <c r="M13" s="30"/>
      <c r="N13" s="30"/>
      <c r="O13" s="30"/>
      <c r="P13" s="30"/>
      <c r="Q13" s="30"/>
      <c r="R13" s="30"/>
      <c r="S13" s="30"/>
      <c r="T13" s="2039" t="s">
        <v>2079</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2076</v>
      </c>
      <c r="B15" s="2037"/>
      <c r="C15" s="2037"/>
      <c r="D15" s="2037"/>
      <c r="E15" s="2037"/>
      <c r="F15" s="2037"/>
      <c r="G15" s="2037"/>
      <c r="H15" s="2038"/>
      <c r="T15" s="2043" t="s">
        <v>2080</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2135</v>
      </c>
      <c r="B17" s="1994"/>
      <c r="C17" s="1994"/>
      <c r="D17" s="1994"/>
      <c r="E17" s="1994"/>
      <c r="F17" s="1994"/>
      <c r="G17" s="1994"/>
      <c r="H17" s="2019"/>
      <c r="T17" s="2050" t="s">
        <v>2081</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2077</v>
      </c>
      <c r="B19" s="1979"/>
      <c r="C19" s="1979"/>
      <c r="D19" s="1979"/>
      <c r="E19" s="1979"/>
      <c r="F19" s="1979"/>
      <c r="G19" s="1979"/>
      <c r="H19" s="1959"/>
      <c r="I19" s="30"/>
      <c r="J19" s="99"/>
      <c r="K19" s="40"/>
      <c r="L19" s="38"/>
      <c r="M19" s="112" t="s">
        <v>333</v>
      </c>
      <c r="P19" s="27"/>
      <c r="Q19" s="27"/>
      <c r="R19" s="27"/>
      <c r="S19" s="31"/>
      <c r="T19" s="2033" t="s">
        <v>2082</v>
      </c>
      <c r="U19" s="1958"/>
      <c r="V19" s="1958"/>
      <c r="W19" s="1959"/>
      <c r="X19" s="2048" t="s">
        <v>2083</v>
      </c>
      <c r="Y19" s="2049"/>
      <c r="Z19" s="2046">
        <v>62002</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2078</v>
      </c>
      <c r="B21" s="1958"/>
      <c r="C21" s="1958"/>
      <c r="D21" s="1958"/>
      <c r="E21" s="1958"/>
      <c r="F21" s="1958"/>
      <c r="G21" s="1958"/>
      <c r="H21" s="1959"/>
      <c r="I21" s="2013" t="s">
        <v>699</v>
      </c>
      <c r="J21" s="2008"/>
      <c r="K21" s="2008"/>
      <c r="L21" s="2008"/>
      <c r="M21" s="2008"/>
      <c r="N21" s="2008"/>
      <c r="O21" s="2008"/>
      <c r="P21" s="2008"/>
      <c r="Q21" s="2008"/>
      <c r="R21" s="2008"/>
      <c r="S21" s="2014"/>
      <c r="T21" s="2057" t="s">
        <v>2084</v>
      </c>
      <c r="U21" s="2058"/>
      <c r="V21" s="2058"/>
      <c r="W21" s="2058"/>
      <c r="X21" s="2063" t="s">
        <v>2085</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c r="B23" s="2011"/>
      <c r="C23" s="2011"/>
      <c r="D23" s="2011"/>
      <c r="E23" s="2011"/>
      <c r="F23" s="2011"/>
      <c r="G23" s="2011"/>
      <c r="H23" s="2012"/>
      <c r="T23" s="1993" t="s">
        <v>2086</v>
      </c>
      <c r="U23" s="2056"/>
      <c r="V23" s="2056"/>
      <c r="W23" s="2056"/>
      <c r="X23" s="2060">
        <v>43466</v>
      </c>
      <c r="Y23" s="2061"/>
      <c r="Z23" s="2061"/>
      <c r="AA23" s="2062"/>
    </row>
    <row r="24" spans="1:27" ht="14.1" customHeight="1" x14ac:dyDescent="0.2">
      <c r="A24" s="88" t="s">
        <v>698</v>
      </c>
      <c r="B24" s="49"/>
      <c r="C24" s="49"/>
      <c r="D24" s="49"/>
      <c r="E24" s="49"/>
      <c r="F24" s="49"/>
      <c r="G24" s="49"/>
      <c r="H24" s="61"/>
      <c r="J24" s="1980" t="str">
        <f>IF(B5="x",IF(AUDITCHECK!D29="AFR form Incomplete.","",IF(AUDITCHECK!D29="Deficit reduction plan is required.","School District must complete a deficit reduction plan in the 2018-2019 Budget",)),"")</f>
        <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62088</v>
      </c>
      <c r="B25" s="1958"/>
      <c r="C25" s="1958"/>
      <c r="D25" s="1958"/>
      <c r="E25" s="1958"/>
      <c r="F25" s="1958"/>
      <c r="G25" s="1958"/>
      <c r="H25" s="1959"/>
      <c r="I25" s="113"/>
      <c r="J25" s="1982"/>
      <c r="K25" s="1982"/>
      <c r="L25" s="1982"/>
      <c r="M25" s="1982"/>
      <c r="N25" s="1982"/>
      <c r="O25" s="1982"/>
      <c r="P25" s="1982"/>
      <c r="Q25" s="1982"/>
      <c r="R25" s="1982"/>
      <c r="S25" s="1983"/>
      <c r="T25" s="2053" t="s">
        <v>2087</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2075</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2075</v>
      </c>
      <c r="C30" s="124" t="s">
        <v>1226</v>
      </c>
      <c r="D30" s="28"/>
      <c r="E30" s="28"/>
      <c r="F30" s="140"/>
      <c r="G30" s="114"/>
      <c r="H30" s="114"/>
      <c r="I30" s="54"/>
      <c r="J30" s="148" t="s">
        <v>2075</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2075</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2075</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2088</v>
      </c>
      <c r="B38" s="1994"/>
      <c r="C38" s="1994"/>
      <c r="D38" s="1994"/>
      <c r="E38" s="1994"/>
      <c r="F38" s="1958"/>
      <c r="G38" s="1958"/>
      <c r="H38" s="1959"/>
      <c r="I38" s="1986"/>
      <c r="J38" s="1987"/>
      <c r="K38" s="1987"/>
      <c r="L38" s="1987"/>
      <c r="M38" s="1987"/>
      <c r="N38" s="1987"/>
      <c r="O38" s="1987"/>
      <c r="P38" s="1988"/>
      <c r="Q38" s="1988"/>
      <c r="R38" s="1988"/>
      <c r="S38" s="1989"/>
      <c r="T38" s="2043" t="s">
        <v>2092</v>
      </c>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2089</v>
      </c>
      <c r="B40" s="1972"/>
      <c r="C40" s="1973"/>
      <c r="D40" s="1973"/>
      <c r="E40" s="1973"/>
      <c r="F40" s="1974"/>
      <c r="G40" s="1974"/>
      <c r="H40" s="1975"/>
      <c r="I40" s="1996"/>
      <c r="J40" s="1997"/>
      <c r="K40" s="1997"/>
      <c r="L40" s="1997"/>
      <c r="M40" s="1997"/>
      <c r="N40" s="1997"/>
      <c r="O40" s="1997"/>
      <c r="P40" s="1997"/>
      <c r="Q40" s="1997"/>
      <c r="R40" s="1997"/>
      <c r="S40" s="1998"/>
      <c r="T40" s="1996" t="s">
        <v>2093</v>
      </c>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2090</v>
      </c>
      <c r="B42" s="1977"/>
      <c r="C42" s="1978"/>
      <c r="D42" s="1976" t="s">
        <v>2091</v>
      </c>
      <c r="E42" s="1977"/>
      <c r="F42" s="1977"/>
      <c r="G42" s="1977"/>
      <c r="H42" s="1978"/>
      <c r="I42" s="1960"/>
      <c r="J42" s="1961"/>
      <c r="K42" s="1961"/>
      <c r="L42" s="1961"/>
      <c r="M42" s="1961"/>
      <c r="N42" s="1961"/>
      <c r="O42" s="1962"/>
      <c r="P42" s="1995"/>
      <c r="Q42" s="1961"/>
      <c r="R42" s="1961"/>
      <c r="S42" s="1962"/>
      <c r="T42" s="1960" t="s">
        <v>2094</v>
      </c>
      <c r="U42" s="1961"/>
      <c r="V42" s="1961"/>
      <c r="W42" s="1962"/>
      <c r="X42" s="1995" t="s">
        <v>2095</v>
      </c>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9" zoomScale="110" zoomScaleNormal="110" workbookViewId="0">
      <selection activeCell="D80" sqref="D8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9" t="s">
        <v>1709</v>
      </c>
    </row>
    <row r="23" spans="1:5" x14ac:dyDescent="0.2">
      <c r="A23" s="168"/>
      <c r="B23" s="162" t="s">
        <v>1966</v>
      </c>
      <c r="D23" s="167" t="s">
        <v>658</v>
      </c>
      <c r="E23" s="1859"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7" t="s">
        <v>1877</v>
      </c>
    </row>
    <row r="60" spans="1:3" x14ac:dyDescent="0.2">
      <c r="A60" s="196"/>
      <c r="B60" s="1507"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9"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8"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2079</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3237606</v>
      </c>
      <c r="E16" s="356"/>
      <c r="F16" s="1755">
        <f>SUM('Acct Summary 7-8'!C17,'Acct Summary 7-8'!D17,'Acct Summary 7-8'!F17)</f>
        <v>3227527</v>
      </c>
      <c r="G16" s="356"/>
      <c r="H16" s="1755">
        <f>SUM(D16-F16)</f>
        <v>10079</v>
      </c>
      <c r="I16" s="222"/>
      <c r="J16" s="1755">
        <f>SUM('Acct Summary 7-8'!C81,'Acct Summary 7-8'!D81,'Acct Summary 7-8'!F81,'Acct Summary 7-8'!I81)</f>
        <v>253362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D80" sqref="D8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South Macoupin Association</v>
      </c>
      <c r="E7" s="391"/>
      <c r="G7" s="252"/>
      <c r="H7" s="387"/>
      <c r="I7" s="387"/>
      <c r="J7" s="387"/>
      <c r="K7" s="387"/>
      <c r="L7" s="329"/>
      <c r="M7" s="329"/>
      <c r="N7" s="329"/>
      <c r="O7" s="329"/>
      <c r="P7" s="329"/>
    </row>
    <row r="8" spans="1:18" ht="12.75" x14ac:dyDescent="0.2">
      <c r="A8" s="329"/>
      <c r="B8" s="329"/>
      <c r="C8" s="389" t="s">
        <v>1187</v>
      </c>
      <c r="D8" s="392">
        <f>COVER!A13</f>
        <v>40056801060</v>
      </c>
      <c r="E8" s="393"/>
      <c r="G8" s="329"/>
      <c r="H8" s="329"/>
      <c r="I8" s="329"/>
      <c r="J8" s="329"/>
      <c r="K8" s="329"/>
      <c r="L8" s="329"/>
      <c r="M8" s="329"/>
      <c r="N8" s="329"/>
      <c r="O8" s="329"/>
      <c r="P8" s="329"/>
    </row>
    <row r="9" spans="1:18" ht="12.75" x14ac:dyDescent="0.2">
      <c r="A9" s="329"/>
      <c r="B9" s="329"/>
      <c r="C9" s="389" t="s">
        <v>737</v>
      </c>
      <c r="D9" s="394" t="str">
        <f>COVER!A15</f>
        <v>MACOUPIN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2</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253362</v>
      </c>
      <c r="I12" s="404"/>
      <c r="J12" s="404"/>
      <c r="K12" s="405">
        <f>TRUNC((H12/H13*100000),5)/100000</f>
        <v>7.8255970600000002E-2</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3237606</v>
      </c>
      <c r="I13" s="404"/>
      <c r="J13" s="404"/>
      <c r="K13" s="410"/>
      <c r="L13" s="218"/>
      <c r="M13" s="360" t="s">
        <v>1207</v>
      </c>
      <c r="N13" s="360"/>
      <c r="O13" s="411">
        <f>(O11*O12)</f>
        <v>0.7</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3227527</v>
      </c>
      <c r="I17" s="404"/>
      <c r="J17" s="416"/>
      <c r="K17" s="405">
        <f>TRUNC((H17/H18*100000),5)/100000</f>
        <v>0.9968868971999999</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3237606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f>IF(K24&gt;=180,"4",IF(K24&gt;=90,"3",IF(K24&gt;=30,"2",1)))</f>
        <v>1</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253362</v>
      </c>
      <c r="I24" s="422"/>
      <c r="J24" s="422"/>
      <c r="K24" s="423">
        <f>TRUNC(((H24/H25*100000)/100000),2)</f>
        <v>28.26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8965.3527799999993</v>
      </c>
      <c r="I25" s="425"/>
      <c r="J25" s="425"/>
      <c r="K25" s="410"/>
      <c r="L25" s="218"/>
      <c r="M25" s="360" t="s">
        <v>1207</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2068</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27" activePane="bottomLeft" state="frozen"/>
      <selection activeCell="D80" sqref="D80"/>
      <selection pane="bottomLeft" activeCell="D80" sqref="D8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253362</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253362</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158753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158753</v>
      </c>
      <c r="N23" s="1710">
        <f>SUM(N21:N22)</f>
        <v>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253362</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158753</v>
      </c>
      <c r="N40" s="497"/>
    </row>
    <row r="41" spans="1:14" ht="13.5" customHeight="1" thickBot="1" x14ac:dyDescent="0.25">
      <c r="A41" s="1758" t="s">
        <v>676</v>
      </c>
      <c r="B41" s="1728"/>
      <c r="C41" s="1710">
        <f>(SUM(C34,C37,C38,C39))</f>
        <v>253362</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158753</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9" activePane="bottomLeft" state="frozenSplit"/>
      <selection activeCell="D80" sqref="D80"/>
      <selection pane="bottomLeft" activeCell="D80" sqref="D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1853722</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380138</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1003746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3237606</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908932</v>
      </c>
      <c r="D9" s="516"/>
      <c r="E9" s="481"/>
      <c r="F9" s="481"/>
      <c r="G9" s="517"/>
      <c r="H9" s="481"/>
      <c r="I9" s="509" t="s">
        <v>1231</v>
      </c>
      <c r="J9" s="478"/>
      <c r="K9" s="481"/>
      <c r="L9" s="347"/>
    </row>
    <row r="10" spans="1:13" s="519" customFormat="1" ht="13.5" thickBot="1" x14ac:dyDescent="0.25">
      <c r="A10" s="1758" t="s">
        <v>1235</v>
      </c>
      <c r="B10" s="1731"/>
      <c r="C10" s="1710">
        <f>SUM(C8:C9)</f>
        <v>4146538</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1901064</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367522</v>
      </c>
      <c r="D13" s="1765">
        <f>'Expenditures 15-22'!K129</f>
        <v>0</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958941</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3227527</v>
      </c>
      <c r="D17" s="1710">
        <f t="shared" si="2"/>
        <v>0</v>
      </c>
      <c r="E17" s="1710">
        <f t="shared" si="2"/>
        <v>0</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908932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4136459</v>
      </c>
      <c r="D19" s="1710">
        <f t="shared" si="4"/>
        <v>0</v>
      </c>
      <c r="E19" s="1710">
        <f t="shared" si="4"/>
        <v>0</v>
      </c>
      <c r="F19" s="1710">
        <f t="shared" si="4"/>
        <v>0</v>
      </c>
      <c r="G19" s="1710">
        <f t="shared" si="4"/>
        <v>0</v>
      </c>
      <c r="H19" s="1710">
        <f t="shared" si="4"/>
        <v>0</v>
      </c>
      <c r="I19" s="468"/>
      <c r="J19" s="1710">
        <f>SUM(J17:J18)</f>
        <v>0</v>
      </c>
      <c r="K19" s="1710">
        <f>SUM(K17:K18)</f>
        <v>0</v>
      </c>
      <c r="L19" s="347"/>
    </row>
    <row r="20" spans="1:12" ht="16.5" thickTop="1" thickBot="1" x14ac:dyDescent="0.25">
      <c r="A20" s="2142" t="s">
        <v>1754</v>
      </c>
      <c r="B20" s="2143"/>
      <c r="C20" s="1768">
        <f>C8-C17</f>
        <v>10079</v>
      </c>
      <c r="D20" s="1768">
        <f t="shared" ref="D20:K20" si="5">D8-D17</f>
        <v>0</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1895</v>
      </c>
      <c r="B30" s="527">
        <v>7160</v>
      </c>
      <c r="C30" s="477"/>
      <c r="D30" s="467"/>
      <c r="E30" s="477"/>
      <c r="F30" s="477"/>
      <c r="G30" s="477"/>
      <c r="H30" s="477"/>
      <c r="I30" s="477"/>
      <c r="J30" s="477"/>
      <c r="K30" s="477"/>
      <c r="L30" s="524"/>
    </row>
    <row r="31" spans="1:12" s="485" customFormat="1" ht="26.25" x14ac:dyDescent="0.2">
      <c r="A31" s="1511" t="s">
        <v>1899</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1898</v>
      </c>
      <c r="B52" s="483">
        <v>8160</v>
      </c>
      <c r="C52" s="477"/>
      <c r="D52" s="477"/>
      <c r="E52" s="477"/>
      <c r="F52" s="477"/>
      <c r="G52" s="477"/>
      <c r="H52" s="477"/>
      <c r="I52" s="477"/>
      <c r="J52" s="477"/>
      <c r="K52" s="1765">
        <f>D30</f>
        <v>0</v>
      </c>
      <c r="L52" s="524"/>
    </row>
    <row r="53" spans="1:12" s="485" customFormat="1" ht="26.25" x14ac:dyDescent="0.2">
      <c r="A53" s="1512" t="s">
        <v>1897</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4" t="s">
        <v>1239</v>
      </c>
      <c r="B77" s="2135"/>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8" t="s">
        <v>618</v>
      </c>
      <c r="B78" s="2139"/>
      <c r="C78" s="1724">
        <f t="shared" ref="C78:K78" si="9">C20+C77</f>
        <v>10079</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2069</v>
      </c>
      <c r="B79" s="534"/>
      <c r="C79" s="478">
        <v>243283</v>
      </c>
      <c r="D79" s="535"/>
      <c r="E79" s="535"/>
      <c r="F79" s="535"/>
      <c r="G79" s="535"/>
      <c r="H79" s="535"/>
      <c r="I79" s="535"/>
      <c r="J79" s="535"/>
      <c r="K79" s="535"/>
      <c r="L79" s="347"/>
    </row>
    <row r="80" spans="1:12" x14ac:dyDescent="0.2">
      <c r="A80" s="2144" t="s">
        <v>1896</v>
      </c>
      <c r="B80" s="2145"/>
      <c r="C80" s="467"/>
      <c r="D80" s="467"/>
      <c r="E80" s="467"/>
      <c r="F80" s="467"/>
      <c r="G80" s="467"/>
      <c r="H80" s="467"/>
      <c r="I80" s="467"/>
      <c r="J80" s="467"/>
      <c r="K80" s="467"/>
      <c r="L80" s="347"/>
    </row>
    <row r="81" spans="1:12" ht="13.5" thickBot="1" x14ac:dyDescent="0.25">
      <c r="A81" s="2136" t="s">
        <v>2070</v>
      </c>
      <c r="B81" s="2137"/>
      <c r="C81" s="1710">
        <f>(SUM(C78:C80))</f>
        <v>253362</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10079</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3.9781024778775036E-2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57" activePane="bottomLeft" state="frozen"/>
      <selection activeCell="D80" sqref="D80"/>
      <selection pane="bottomLeft" activeCell="C87" sqref="C8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1903</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f>648919+179878+940390+451935-454730+70140</f>
        <v>1836532</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1836532</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f>2+1630</f>
        <v>1632</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1632</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v>3423</v>
      </c>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3423</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12135</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30" t="s">
        <v>508</v>
      </c>
      <c r="B108" s="1734"/>
      <c r="C108" s="1729">
        <f>SUM(C95:C107)</f>
        <v>12135</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1853722</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246660</v>
      </c>
      <c r="D117" s="481"/>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8" t="s">
        <v>1902</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246660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123330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v>10148</v>
      </c>
      <c r="D130" s="467"/>
      <c r="E130" s="468"/>
      <c r="F130" s="466"/>
      <c r="G130" s="468"/>
      <c r="H130" s="468"/>
      <c r="I130" s="468"/>
      <c r="J130" s="468"/>
      <c r="K130" s="468"/>
    </row>
    <row r="131" spans="1:11" ht="12.75" customHeight="1" thickBot="1" x14ac:dyDescent="0.25">
      <c r="A131" s="1730" t="s">
        <v>1092</v>
      </c>
      <c r="B131" s="1742"/>
      <c r="C131" s="1729">
        <f>SUM(C124:C130)</f>
        <v>133478</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0" t="s">
        <v>418</v>
      </c>
      <c r="B172" s="2161"/>
      <c r="C172" s="1744">
        <f t="shared" ref="C172:K172" si="6">SUM(C131,C140,C144,C145:C149,C154,C155:C170,C171)</f>
        <v>133478</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380138</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1904</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38744</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v>920196</v>
      </c>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958940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15458</v>
      </c>
      <c r="D270" s="576"/>
      <c r="E270" s="468"/>
      <c r="F270" s="576"/>
      <c r="G270" s="576"/>
      <c r="H270" s="468"/>
      <c r="I270" s="468"/>
      <c r="J270" s="468"/>
      <c r="K270" s="468"/>
    </row>
    <row r="271" spans="1:11" ht="12.75" customHeight="1" thickTop="1" thickBot="1" x14ac:dyDescent="0.25">
      <c r="A271" s="463" t="s">
        <v>395</v>
      </c>
      <c r="B271" s="470">
        <v>4992</v>
      </c>
      <c r="C271" s="575">
        <f>-15458+44806</f>
        <v>29348</v>
      </c>
      <c r="D271" s="576"/>
      <c r="E271" s="468"/>
      <c r="F271" s="576"/>
      <c r="G271" s="576"/>
      <c r="H271" s="468"/>
      <c r="I271" s="468"/>
      <c r="J271" s="468"/>
      <c r="K271" s="468"/>
    </row>
    <row r="272" spans="1:11" s="594" customFormat="1" ht="12.75" customHeight="1" thickTop="1" thickBot="1" x14ac:dyDescent="0.25">
      <c r="A272" s="563" t="s">
        <v>77</v>
      </c>
      <c r="B272" s="557">
        <v>4999</v>
      </c>
      <c r="C272" s="575">
        <f>70140-70140</f>
        <v>0</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1003746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1003746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3237606</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0" zoomScaleNormal="90" workbookViewId="0">
      <pane ySplit="2" topLeftCell="A30" activePane="bottomLeft" state="frozen"/>
      <selection activeCell="D80" sqref="D80"/>
      <selection pane="bottomLeft" activeCell="D80" sqref="D8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1444949</v>
      </c>
      <c r="D8" s="466">
        <f>233325+61688+21791+6392</f>
        <v>323196</v>
      </c>
      <c r="E8" s="466">
        <f>58000+6923+9378</f>
        <v>74301</v>
      </c>
      <c r="F8" s="466">
        <f>322+3870+13920</f>
        <v>18112</v>
      </c>
      <c r="G8" s="466">
        <v>40506</v>
      </c>
      <c r="H8" s="466"/>
      <c r="I8" s="467"/>
      <c r="J8" s="467"/>
      <c r="K8" s="1693">
        <f t="shared" si="0"/>
        <v>1901064</v>
      </c>
      <c r="L8" s="466">
        <v>1889578</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1444949</v>
      </c>
      <c r="D33" s="1692">
        <f t="shared" ref="D33:L33" si="1">SUM(D5:D32)</f>
        <v>323196</v>
      </c>
      <c r="E33" s="1692">
        <f t="shared" si="1"/>
        <v>74301</v>
      </c>
      <c r="F33" s="1692">
        <f t="shared" si="1"/>
        <v>18112</v>
      </c>
      <c r="G33" s="1692">
        <f t="shared" si="1"/>
        <v>40506</v>
      </c>
      <c r="H33" s="1692">
        <f t="shared" si="1"/>
        <v>0</v>
      </c>
      <c r="I33" s="1692">
        <f t="shared" si="1"/>
        <v>0</v>
      </c>
      <c r="J33" s="1692">
        <f t="shared" si="1"/>
        <v>0</v>
      </c>
      <c r="K33" s="1692">
        <f t="shared" si="1"/>
        <v>1901064</v>
      </c>
      <c r="L33" s="1692">
        <f t="shared" si="1"/>
        <v>1889578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v>4225</v>
      </c>
      <c r="F40" s="466"/>
      <c r="G40" s="466"/>
      <c r="H40" s="466"/>
      <c r="I40" s="467"/>
      <c r="J40" s="467"/>
      <c r="K40" s="1693">
        <f t="shared" si="2"/>
        <v>4225</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0</v>
      </c>
      <c r="D42" s="1692">
        <f t="shared" ref="D42:L42" si="3">SUM(D36:D41)</f>
        <v>0</v>
      </c>
      <c r="E42" s="1692">
        <f t="shared" si="3"/>
        <v>4225</v>
      </c>
      <c r="F42" s="1692">
        <f t="shared" si="3"/>
        <v>0</v>
      </c>
      <c r="G42" s="1692">
        <f t="shared" si="3"/>
        <v>0</v>
      </c>
      <c r="H42" s="1692">
        <f t="shared" si="3"/>
        <v>0</v>
      </c>
      <c r="I42" s="1692">
        <f t="shared" si="3"/>
        <v>0</v>
      </c>
      <c r="J42" s="1692">
        <f t="shared" si="3"/>
        <v>0</v>
      </c>
      <c r="K42" s="1692">
        <f t="shared" si="3"/>
        <v>4225</v>
      </c>
      <c r="L42" s="1692">
        <f t="shared" si="3"/>
        <v>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1750</v>
      </c>
      <c r="D44" s="481"/>
      <c r="E44" s="481">
        <v>5251</v>
      </c>
      <c r="F44" s="481">
        <v>341</v>
      </c>
      <c r="G44" s="481"/>
      <c r="H44" s="481">
        <v>1453</v>
      </c>
      <c r="I44" s="467"/>
      <c r="J44" s="467"/>
      <c r="K44" s="1694">
        <f>SUM(C44:J44)</f>
        <v>8795</v>
      </c>
      <c r="L44" s="481">
        <v>10900</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v>4915</v>
      </c>
      <c r="G46" s="466"/>
      <c r="H46" s="466"/>
      <c r="I46" s="467"/>
      <c r="J46" s="467"/>
      <c r="K46" s="1694">
        <f>SUM(C46:J46)</f>
        <v>4915</v>
      </c>
      <c r="L46" s="466">
        <v>3400</v>
      </c>
    </row>
    <row r="47" spans="1:14" ht="12.75" customHeight="1" thickBot="1" x14ac:dyDescent="0.25">
      <c r="A47" s="1690" t="s">
        <v>582</v>
      </c>
      <c r="B47" s="1691" t="s">
        <v>32</v>
      </c>
      <c r="C47" s="1692">
        <f>SUM(C44:C46)</f>
        <v>1750</v>
      </c>
      <c r="D47" s="1692">
        <f t="shared" ref="D47:K47" si="4">SUM(D44:D46)</f>
        <v>0</v>
      </c>
      <c r="E47" s="1692">
        <f t="shared" si="4"/>
        <v>5251</v>
      </c>
      <c r="F47" s="1692">
        <f t="shared" si="4"/>
        <v>5256</v>
      </c>
      <c r="G47" s="1692">
        <f t="shared" si="4"/>
        <v>0</v>
      </c>
      <c r="H47" s="1692">
        <f t="shared" si="4"/>
        <v>1453</v>
      </c>
      <c r="I47" s="1692">
        <f t="shared" si="4"/>
        <v>0</v>
      </c>
      <c r="J47" s="1692">
        <f t="shared" si="4"/>
        <v>0</v>
      </c>
      <c r="K47" s="1692">
        <f t="shared" si="4"/>
        <v>13710</v>
      </c>
      <c r="L47" s="1692">
        <f>SUM(L44:L46)</f>
        <v>14300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39717</v>
      </c>
      <c r="D49" s="481">
        <f>6140+4246</f>
        <v>10386</v>
      </c>
      <c r="E49" s="481"/>
      <c r="F49" s="481"/>
      <c r="G49" s="481"/>
      <c r="H49" s="481"/>
      <c r="I49" s="467"/>
      <c r="J49" s="467"/>
      <c r="K49" s="1694">
        <f>SUM(C49:J49)</f>
        <v>50103</v>
      </c>
      <c r="L49" s="481"/>
    </row>
    <row r="50" spans="1:14" x14ac:dyDescent="0.2">
      <c r="A50" s="1526" t="s">
        <v>872</v>
      </c>
      <c r="B50" s="615">
        <v>2320</v>
      </c>
      <c r="C50" s="466"/>
      <c r="D50" s="466"/>
      <c r="E50" s="466"/>
      <c r="F50" s="466"/>
      <c r="G50" s="466"/>
      <c r="H50" s="466"/>
      <c r="I50" s="467"/>
      <c r="J50" s="467"/>
      <c r="K50" s="1694">
        <f>SUM(C50:J50)</f>
        <v>0</v>
      </c>
      <c r="L50" s="466"/>
    </row>
    <row r="51" spans="1:14" x14ac:dyDescent="0.2">
      <c r="A51" s="1526" t="s">
        <v>44</v>
      </c>
      <c r="B51" s="615">
        <v>2330</v>
      </c>
      <c r="C51" s="466">
        <v>188309</v>
      </c>
      <c r="D51" s="466">
        <f>45193+2696+109</f>
        <v>47998</v>
      </c>
      <c r="E51" s="466">
        <f>8292+15201+2478+2549</f>
        <v>28520</v>
      </c>
      <c r="F51" s="466">
        <v>3950</v>
      </c>
      <c r="G51" s="466"/>
      <c r="H51" s="466"/>
      <c r="I51" s="467"/>
      <c r="J51" s="467"/>
      <c r="K51" s="1694">
        <f>SUM(C51:J51)</f>
        <v>268777</v>
      </c>
      <c r="L51" s="466">
        <v>314585</v>
      </c>
    </row>
    <row r="52" spans="1:14" ht="22.5" x14ac:dyDescent="0.2">
      <c r="A52" s="1527" t="s">
        <v>316</v>
      </c>
      <c r="B52" s="628" t="s">
        <v>384</v>
      </c>
      <c r="C52" s="474"/>
      <c r="D52" s="474"/>
      <c r="E52" s="474">
        <v>13535</v>
      </c>
      <c r="F52" s="474"/>
      <c r="G52" s="474"/>
      <c r="H52" s="474"/>
      <c r="I52" s="474"/>
      <c r="J52" s="474"/>
      <c r="K52" s="1694">
        <f>SUM(C52:J52)</f>
        <v>13535</v>
      </c>
      <c r="L52" s="474">
        <v>12859</v>
      </c>
    </row>
    <row r="53" spans="1:14" ht="12.75" customHeight="1" thickBot="1" x14ac:dyDescent="0.25">
      <c r="A53" s="1690" t="s">
        <v>741</v>
      </c>
      <c r="B53" s="1691" t="s">
        <v>33</v>
      </c>
      <c r="C53" s="1692">
        <f>SUM(C49:C52)</f>
        <v>228026</v>
      </c>
      <c r="D53" s="1692">
        <f t="shared" ref="D53:L53" si="5">SUM(D49:D52)</f>
        <v>58384</v>
      </c>
      <c r="E53" s="1692">
        <f t="shared" si="5"/>
        <v>42055</v>
      </c>
      <c r="F53" s="1692">
        <f t="shared" si="5"/>
        <v>3950</v>
      </c>
      <c r="G53" s="1692">
        <f t="shared" si="5"/>
        <v>0</v>
      </c>
      <c r="H53" s="1692">
        <f t="shared" si="5"/>
        <v>0</v>
      </c>
      <c r="I53" s="1692">
        <f t="shared" si="5"/>
        <v>0</v>
      </c>
      <c r="J53" s="1692">
        <f t="shared" si="5"/>
        <v>0</v>
      </c>
      <c r="K53" s="1692">
        <f t="shared" si="5"/>
        <v>332415</v>
      </c>
      <c r="L53" s="1692">
        <f t="shared" si="5"/>
        <v>327444</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4">
        <f>SUM(C55:J55)</f>
        <v>0</v>
      </c>
      <c r="L55" s="481"/>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0</v>
      </c>
      <c r="D57" s="1696">
        <f t="shared" ref="D57:K57" si="6">SUM(D55:D56)</f>
        <v>0</v>
      </c>
      <c r="E57" s="1696">
        <f t="shared" si="6"/>
        <v>0</v>
      </c>
      <c r="F57" s="1696">
        <f t="shared" si="6"/>
        <v>0</v>
      </c>
      <c r="G57" s="1696">
        <f t="shared" si="6"/>
        <v>0</v>
      </c>
      <c r="H57" s="1696">
        <f t="shared" si="6"/>
        <v>0</v>
      </c>
      <c r="I57" s="1696">
        <f t="shared" si="6"/>
        <v>0</v>
      </c>
      <c r="J57" s="1696">
        <f t="shared" si="6"/>
        <v>0</v>
      </c>
      <c r="K57" s="1696">
        <f t="shared" si="6"/>
        <v>0</v>
      </c>
      <c r="L57" s="1692">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c r="F60" s="466"/>
      <c r="G60" s="466"/>
      <c r="H60" s="466"/>
      <c r="I60" s="467"/>
      <c r="J60" s="467"/>
      <c r="K60" s="1694">
        <f t="shared" si="7"/>
        <v>0</v>
      </c>
      <c r="L60" s="466">
        <v>3550</v>
      </c>
      <c r="M60" s="610"/>
      <c r="N60" s="610"/>
    </row>
    <row r="61" spans="1:14" s="343" customFormat="1" x14ac:dyDescent="0.2">
      <c r="A61" s="1526" t="s">
        <v>206</v>
      </c>
      <c r="B61" s="615">
        <v>2540</v>
      </c>
      <c r="C61" s="466"/>
      <c r="D61" s="466"/>
      <c r="E61" s="466">
        <v>2250</v>
      </c>
      <c r="F61" s="466"/>
      <c r="G61" s="466"/>
      <c r="H61" s="466"/>
      <c r="I61" s="467"/>
      <c r="J61" s="467"/>
      <c r="K61" s="1694">
        <f t="shared" si="7"/>
        <v>2250</v>
      </c>
      <c r="L61" s="466">
        <v>2250</v>
      </c>
      <c r="M61" s="610"/>
      <c r="N61" s="610"/>
    </row>
    <row r="62" spans="1:14" s="343" customFormat="1" x14ac:dyDescent="0.2">
      <c r="A62" s="1526" t="s">
        <v>1010</v>
      </c>
      <c r="B62" s="615">
        <v>2550</v>
      </c>
      <c r="C62" s="466"/>
      <c r="D62" s="466"/>
      <c r="E62" s="466">
        <v>547</v>
      </c>
      <c r="F62" s="466"/>
      <c r="G62" s="466"/>
      <c r="H62" s="466"/>
      <c r="I62" s="467"/>
      <c r="J62" s="467"/>
      <c r="K62" s="1694">
        <f t="shared" si="7"/>
        <v>547</v>
      </c>
      <c r="L62" s="466">
        <v>500</v>
      </c>
      <c r="M62" s="610"/>
      <c r="N62" s="610"/>
    </row>
    <row r="63" spans="1:14" s="610" customFormat="1" x14ac:dyDescent="0.2">
      <c r="A63" s="1526" t="s">
        <v>102</v>
      </c>
      <c r="B63" s="615">
        <v>2560</v>
      </c>
      <c r="C63" s="466"/>
      <c r="D63" s="466"/>
      <c r="E63" s="466"/>
      <c r="F63" s="466"/>
      <c r="G63" s="466"/>
      <c r="H63" s="466"/>
      <c r="I63" s="467"/>
      <c r="J63" s="467"/>
      <c r="K63" s="1694">
        <f t="shared" si="7"/>
        <v>0</v>
      </c>
      <c r="L63" s="466"/>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0</v>
      </c>
      <c r="D65" s="1692">
        <f t="shared" ref="D65:L65" si="8">SUM(D59:D64)</f>
        <v>0</v>
      </c>
      <c r="E65" s="1692">
        <f t="shared" si="8"/>
        <v>2797</v>
      </c>
      <c r="F65" s="1692">
        <f t="shared" si="8"/>
        <v>0</v>
      </c>
      <c r="G65" s="1692">
        <f t="shared" si="8"/>
        <v>0</v>
      </c>
      <c r="H65" s="1692">
        <f t="shared" si="8"/>
        <v>0</v>
      </c>
      <c r="I65" s="1692">
        <f t="shared" si="8"/>
        <v>0</v>
      </c>
      <c r="J65" s="1692">
        <f t="shared" si="8"/>
        <v>0</v>
      </c>
      <c r="K65" s="1692">
        <f t="shared" si="8"/>
        <v>2797</v>
      </c>
      <c r="L65" s="1692">
        <f t="shared" si="8"/>
        <v>6300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v>14375</v>
      </c>
      <c r="F71" s="466"/>
      <c r="G71" s="466"/>
      <c r="H71" s="466"/>
      <c r="I71" s="467"/>
      <c r="J71" s="467"/>
      <c r="K71" s="1694">
        <f>SUM(C71:J71)</f>
        <v>14375</v>
      </c>
      <c r="L71" s="466">
        <v>16000</v>
      </c>
      <c r="M71" s="610"/>
      <c r="N71" s="610"/>
    </row>
    <row r="72" spans="1:14" s="343" customFormat="1" ht="12.75" customHeight="1" thickBot="1" x14ac:dyDescent="0.25">
      <c r="A72" s="1690" t="s">
        <v>37</v>
      </c>
      <c r="B72" s="1697" t="s">
        <v>36</v>
      </c>
      <c r="C72" s="1692">
        <f>SUM(C67:C71)</f>
        <v>0</v>
      </c>
      <c r="D72" s="1692">
        <f t="shared" ref="D72:K72" si="9">SUM(D67:D71)</f>
        <v>0</v>
      </c>
      <c r="E72" s="1692">
        <f t="shared" si="9"/>
        <v>14375</v>
      </c>
      <c r="F72" s="1692">
        <f t="shared" si="9"/>
        <v>0</v>
      </c>
      <c r="G72" s="1692">
        <f t="shared" si="9"/>
        <v>0</v>
      </c>
      <c r="H72" s="1692">
        <f t="shared" si="9"/>
        <v>0</v>
      </c>
      <c r="I72" s="1692">
        <f t="shared" si="9"/>
        <v>0</v>
      </c>
      <c r="J72" s="1692">
        <f t="shared" si="9"/>
        <v>0</v>
      </c>
      <c r="K72" s="1692">
        <f t="shared" si="9"/>
        <v>14375</v>
      </c>
      <c r="L72" s="1692">
        <f>SUM(L67:L71)</f>
        <v>16000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229776</v>
      </c>
      <c r="D74" s="1699">
        <f t="shared" ref="D74:K74" si="10">SUM(D42,D47,D53,D57,D65,D72,D73)</f>
        <v>58384</v>
      </c>
      <c r="E74" s="1699">
        <f t="shared" si="10"/>
        <v>68703</v>
      </c>
      <c r="F74" s="1699">
        <f t="shared" si="10"/>
        <v>9206</v>
      </c>
      <c r="G74" s="1699">
        <f t="shared" si="10"/>
        <v>0</v>
      </c>
      <c r="H74" s="1699">
        <f t="shared" si="10"/>
        <v>1453</v>
      </c>
      <c r="I74" s="1699">
        <f t="shared" si="10"/>
        <v>0</v>
      </c>
      <c r="J74" s="1699">
        <f t="shared" si="10"/>
        <v>0</v>
      </c>
      <c r="K74" s="1699">
        <f t="shared" si="10"/>
        <v>367522</v>
      </c>
      <c r="L74" s="1699">
        <f>SUM(L42,L47,L53,L57,L65,L72,L73)</f>
        <v>364044</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f>920197+38744</f>
        <v>958941</v>
      </c>
      <c r="I79" s="477"/>
      <c r="J79" s="477"/>
      <c r="K79" s="1693">
        <f t="shared" si="11"/>
        <v>958941</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958941</v>
      </c>
      <c r="I84" s="477"/>
      <c r="J84" s="477"/>
      <c r="K84" s="1692">
        <f>SUM(K78:K83)</f>
        <v>958941</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958941</v>
      </c>
      <c r="I102" s="477"/>
      <c r="J102" s="477"/>
      <c r="K102" s="1699">
        <f>SUM(K84,K92,K100,K101)</f>
        <v>958941</v>
      </c>
      <c r="L102" s="1699">
        <f>SUM(L84,L92,L100,L101)</f>
        <v>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1674725</v>
      </c>
      <c r="D114" s="1692">
        <f t="shared" ref="D114:K114" si="13">SUM(D33,D74,D75,D102,D112,D113)</f>
        <v>381580</v>
      </c>
      <c r="E114" s="1692">
        <f t="shared" si="13"/>
        <v>143004</v>
      </c>
      <c r="F114" s="1692">
        <f t="shared" si="13"/>
        <v>27318</v>
      </c>
      <c r="G114" s="1692">
        <f t="shared" si="13"/>
        <v>40506</v>
      </c>
      <c r="H114" s="1692">
        <f>SUM(H33,H74,H75,H102,H112,H113)</f>
        <v>960394</v>
      </c>
      <c r="I114" s="1692">
        <f t="shared" si="13"/>
        <v>0</v>
      </c>
      <c r="J114" s="1692">
        <f t="shared" si="13"/>
        <v>0</v>
      </c>
      <c r="K114" s="1692">
        <f t="shared" si="13"/>
        <v>3227527</v>
      </c>
      <c r="L114" s="1692">
        <f>SUM(L33,L74,L75,L102,L112,L113)</f>
        <v>2253622</v>
      </c>
    </row>
    <row r="115" spans="1:14" ht="13.5" thickTop="1" x14ac:dyDescent="0.2">
      <c r="A115" s="2172" t="s">
        <v>1053</v>
      </c>
      <c r="B115" s="2173"/>
      <c r="C115" s="619"/>
      <c r="D115" s="619"/>
      <c r="E115" s="619"/>
      <c r="F115" s="619"/>
      <c r="G115" s="619"/>
      <c r="H115" s="619"/>
      <c r="I115" s="619"/>
      <c r="J115" s="619"/>
      <c r="K115" s="1706">
        <f>'Revenues 9-14'!C275-'Expenditures 15-22'!K114</f>
        <v>10079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c r="F124" s="466"/>
      <c r="G124" s="466"/>
      <c r="H124" s="466"/>
      <c r="I124" s="467"/>
      <c r="J124" s="467"/>
      <c r="K124" s="1692">
        <f>SUM(C124:J124)</f>
        <v>0</v>
      </c>
      <c r="L124" s="466"/>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0</v>
      </c>
      <c r="F127" s="1692">
        <f t="shared" si="14"/>
        <v>0</v>
      </c>
      <c r="G127" s="1692">
        <f t="shared" si="14"/>
        <v>0</v>
      </c>
      <c r="H127" s="1692">
        <f t="shared" si="14"/>
        <v>0</v>
      </c>
      <c r="I127" s="1692">
        <f t="shared" si="14"/>
        <v>0</v>
      </c>
      <c r="J127" s="1692">
        <f t="shared" si="14"/>
        <v>0</v>
      </c>
      <c r="K127" s="1692">
        <f t="shared" si="14"/>
        <v>0</v>
      </c>
      <c r="L127" s="1692">
        <f t="shared" si="14"/>
        <v>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0</v>
      </c>
      <c r="F129" s="1699">
        <f t="shared" si="15"/>
        <v>0</v>
      </c>
      <c r="G129" s="1699">
        <f t="shared" si="15"/>
        <v>0</v>
      </c>
      <c r="H129" s="1699">
        <f t="shared" si="15"/>
        <v>0</v>
      </c>
      <c r="I129" s="1699">
        <f t="shared" si="15"/>
        <v>0</v>
      </c>
      <c r="J129" s="1699">
        <f t="shared" si="15"/>
        <v>0</v>
      </c>
      <c r="K129" s="1699">
        <f t="shared" si="15"/>
        <v>0</v>
      </c>
      <c r="L129" s="1699">
        <f t="shared" si="15"/>
        <v>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1954</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69"/>
      <c r="C151" s="1692">
        <f>SUM(C129,C130,C139,C149,C150)</f>
        <v>0</v>
      </c>
      <c r="D151" s="1692">
        <f t="shared" ref="D151:K151" si="16">SUM(D129,D130,D139,D149,D150)</f>
        <v>0</v>
      </c>
      <c r="E151" s="1692">
        <f t="shared" si="16"/>
        <v>0</v>
      </c>
      <c r="F151" s="1692">
        <f t="shared" si="16"/>
        <v>0</v>
      </c>
      <c r="G151" s="1692">
        <f t="shared" si="16"/>
        <v>0</v>
      </c>
      <c r="H151" s="1692">
        <f t="shared" si="16"/>
        <v>0</v>
      </c>
      <c r="I151" s="1692">
        <f t="shared" si="16"/>
        <v>0</v>
      </c>
      <c r="J151" s="1692">
        <f t="shared" si="16"/>
        <v>0</v>
      </c>
      <c r="K151" s="1692">
        <f t="shared" si="16"/>
        <v>0</v>
      </c>
      <c r="L151" s="1692">
        <f>SUM(L129,L130,L139,L149,L150)</f>
        <v>0</v>
      </c>
    </row>
    <row r="152" spans="1:14" ht="12.75" customHeight="1" thickTop="1" x14ac:dyDescent="0.2">
      <c r="A152" s="2192" t="s">
        <v>1240</v>
      </c>
      <c r="B152" s="2193"/>
      <c r="C152" s="619"/>
      <c r="D152" s="619"/>
      <c r="E152" s="619"/>
      <c r="F152" s="619"/>
      <c r="G152" s="619"/>
      <c r="H152" s="619"/>
      <c r="I152" s="619"/>
      <c r="J152" s="617"/>
      <c r="K152" s="1706">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1955</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1954</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1956</v>
      </c>
      <c r="C158" s="617"/>
      <c r="D158" s="617"/>
      <c r="E158" s="617"/>
      <c r="F158" s="617"/>
      <c r="G158" s="617"/>
      <c r="H158" s="467"/>
      <c r="I158" s="617"/>
      <c r="J158" s="617"/>
      <c r="K158" s="1693">
        <f>H158</f>
        <v>0</v>
      </c>
      <c r="L158" s="467"/>
      <c r="M158" s="620"/>
      <c r="N158" s="620"/>
    </row>
    <row r="159" spans="1:14" s="621" customFormat="1" ht="12" x14ac:dyDescent="0.2">
      <c r="A159" s="1849" t="s">
        <v>1957</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1958</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72" t="s">
        <v>1053</v>
      </c>
      <c r="B175" s="2173"/>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72" t="s">
        <v>1053</v>
      </c>
      <c r="B211" s="2173"/>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1906</v>
      </c>
      <c r="B249" s="684" t="s">
        <v>300</v>
      </c>
      <c r="C249" s="617"/>
      <c r="D249" s="474"/>
      <c r="E249" s="617"/>
      <c r="F249" s="617"/>
      <c r="G249" s="617"/>
      <c r="H249" s="617"/>
      <c r="I249" s="617"/>
      <c r="J249" s="617"/>
      <c r="K249" s="1694">
        <f t="shared" si="21"/>
        <v>0</v>
      </c>
      <c r="L249" s="466"/>
    </row>
    <row r="250" spans="1:12" x14ac:dyDescent="0.2">
      <c r="A250" s="1527" t="s">
        <v>1907</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1905</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1954</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72" t="s">
        <v>1053</v>
      </c>
      <c r="B296" s="2173"/>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1906</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1960</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1954</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1956</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1961</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5" t="s">
        <v>1053</v>
      </c>
      <c r="B343" s="2186"/>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1962</v>
      </c>
      <c r="B354" s="684" t="s">
        <v>1954</v>
      </c>
      <c r="C354" s="617"/>
      <c r="D354" s="617"/>
      <c r="E354" s="617"/>
      <c r="F354" s="617"/>
      <c r="G354" s="617"/>
      <c r="H354" s="474"/>
      <c r="I354" s="702"/>
      <c r="J354" s="617"/>
      <c r="K354" s="1721">
        <f>H354</f>
        <v>0</v>
      </c>
      <c r="L354" s="471"/>
    </row>
    <row r="355" spans="1:14" ht="12.75" customHeight="1" x14ac:dyDescent="0.2">
      <c r="A355" s="1535" t="s">
        <v>1963</v>
      </c>
      <c r="B355" s="691" t="s">
        <v>1956</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2" t="s">
        <v>1053</v>
      </c>
      <c r="B368" s="2173"/>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22" colorId="8" zoomScale="110" zoomScaleNormal="110" workbookViewId="0">
      <selection activeCell="D80" sqref="D80"/>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1903</v>
      </c>
      <c r="B2" s="1550" t="s">
        <v>2033</v>
      </c>
      <c r="C2" s="715" t="s">
        <v>1908</v>
      </c>
      <c r="D2" s="715" t="s">
        <v>1909</v>
      </c>
      <c r="E2" s="715" t="s">
        <v>1910</v>
      </c>
      <c r="F2" s="715" t="s">
        <v>1911</v>
      </c>
    </row>
    <row r="3" spans="1:6" ht="12" customHeight="1" x14ac:dyDescent="0.2">
      <c r="A3" s="2200"/>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D80" sqref="D8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650</v>
      </c>
      <c r="B1" s="2219"/>
      <c r="C1" s="722"/>
    </row>
    <row r="2" spans="1:7" ht="33.75" x14ac:dyDescent="0.2">
      <c r="A2" s="2226" t="s">
        <v>1903</v>
      </c>
      <c r="B2" s="2227"/>
      <c r="C2" s="1909" t="s">
        <v>2034</v>
      </c>
      <c r="D2" s="724" t="s">
        <v>2041</v>
      </c>
      <c r="E2" s="724" t="s">
        <v>2042</v>
      </c>
      <c r="F2" s="1909" t="s">
        <v>2035</v>
      </c>
    </row>
    <row r="3" spans="1:7" ht="15.75" customHeight="1" x14ac:dyDescent="0.2">
      <c r="A3" s="2228" t="s">
        <v>1176</v>
      </c>
      <c r="B3" s="2229"/>
      <c r="C3" s="2222"/>
      <c r="D3" s="2223"/>
      <c r="E3" s="2223"/>
      <c r="F3" s="2224"/>
    </row>
    <row r="4" spans="1:7" ht="12.75" customHeight="1" thickBot="1" x14ac:dyDescent="0.25">
      <c r="A4" s="2216" t="s">
        <v>651</v>
      </c>
      <c r="B4" s="2217"/>
      <c r="C4" s="581"/>
      <c r="D4" s="581"/>
      <c r="E4" s="581"/>
      <c r="F4" s="1777">
        <f>SUM(C4+D4)-E4</f>
        <v>0</v>
      </c>
    </row>
    <row r="5" spans="1:7" ht="15.75" customHeight="1" thickTop="1" x14ac:dyDescent="0.2">
      <c r="A5" s="2220" t="s">
        <v>1172</v>
      </c>
      <c r="B5" s="2215"/>
      <c r="C5" s="2209"/>
      <c r="D5" s="2210"/>
      <c r="E5" s="2210"/>
      <c r="F5" s="2211"/>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2" t="s">
        <v>652</v>
      </c>
      <c r="B15" s="2213"/>
      <c r="C15" s="1777">
        <f>SUM(C6:C14)</f>
        <v>0</v>
      </c>
      <c r="D15" s="1777">
        <f>SUM(D6:D14)</f>
        <v>0</v>
      </c>
      <c r="E15" s="1777">
        <f>SUM(E6:E14)</f>
        <v>0</v>
      </c>
      <c r="F15" s="1777">
        <f>SUM(F6:F14)</f>
        <v>0</v>
      </c>
      <c r="G15" s="552"/>
    </row>
    <row r="16" spans="1:7" s="202" customFormat="1" ht="15.75" customHeight="1" thickTop="1" x14ac:dyDescent="0.2">
      <c r="A16" s="2225" t="s">
        <v>1173</v>
      </c>
      <c r="B16" s="2215"/>
      <c r="C16" s="2209"/>
      <c r="D16" s="2210"/>
      <c r="E16" s="2210"/>
      <c r="F16" s="2211"/>
    </row>
    <row r="17" spans="1:11" ht="12.75" customHeight="1" thickBot="1" x14ac:dyDescent="0.25">
      <c r="A17" s="2207" t="s">
        <v>66</v>
      </c>
      <c r="B17" s="2208"/>
      <c r="C17" s="727"/>
      <c r="D17" s="585"/>
      <c r="E17" s="727"/>
      <c r="F17" s="1777">
        <f>SUM(C17+D17)-E17</f>
        <v>0</v>
      </c>
    </row>
    <row r="18" spans="1:11" ht="12.75" customHeight="1" thickTop="1" thickBot="1" x14ac:dyDescent="0.25">
      <c r="A18" s="2207" t="s">
        <v>6</v>
      </c>
      <c r="B18" s="2208"/>
      <c r="C18" s="727"/>
      <c r="D18" s="585"/>
      <c r="E18" s="727"/>
      <c r="F18" s="1777">
        <f>SUM(C18+D18)-E18</f>
        <v>0</v>
      </c>
    </row>
    <row r="19" spans="1:11" ht="12.75" customHeight="1" thickTop="1" thickBot="1" x14ac:dyDescent="0.25">
      <c r="A19" s="2207" t="s">
        <v>406</v>
      </c>
      <c r="B19" s="2208"/>
      <c r="C19" s="727"/>
      <c r="D19" s="585"/>
      <c r="E19" s="727"/>
      <c r="F19" s="1777">
        <f>SUM(C19+D19)-E19</f>
        <v>0</v>
      </c>
    </row>
    <row r="20" spans="1:11" ht="12.75" customHeight="1" thickTop="1" thickBot="1" x14ac:dyDescent="0.25">
      <c r="A20" s="2207" t="s">
        <v>468</v>
      </c>
      <c r="B20" s="2208"/>
      <c r="C20" s="727"/>
      <c r="D20" s="585"/>
      <c r="E20" s="727"/>
      <c r="F20" s="1777">
        <f>SUM(C20+D20)-E20</f>
        <v>0</v>
      </c>
    </row>
    <row r="21" spans="1:11" ht="14.25" thickTop="1" thickBot="1" x14ac:dyDescent="0.25">
      <c r="A21" s="2212" t="s">
        <v>653</v>
      </c>
      <c r="B21" s="2213"/>
      <c r="C21" s="1777">
        <f>SUM(C17:C20)</f>
        <v>0</v>
      </c>
      <c r="D21" s="1777">
        <f>SUM(D17:D20)</f>
        <v>0</v>
      </c>
      <c r="E21" s="1777">
        <f>SUM(E17:E20)</f>
        <v>0</v>
      </c>
      <c r="F21" s="1777">
        <f>SUM(F17:F20)</f>
        <v>0</v>
      </c>
      <c r="G21" s="552"/>
    </row>
    <row r="22" spans="1:11" ht="15.75" customHeight="1" thickTop="1" x14ac:dyDescent="0.2">
      <c r="A22" s="2214" t="s">
        <v>1174</v>
      </c>
      <c r="B22" s="2215"/>
      <c r="C22" s="2209"/>
      <c r="D22" s="2210"/>
      <c r="E22" s="2210"/>
      <c r="F22" s="2211"/>
    </row>
    <row r="23" spans="1:11" ht="13.5" thickBot="1" x14ac:dyDescent="0.25">
      <c r="A23" s="2216" t="s">
        <v>654</v>
      </c>
      <c r="B23" s="2217"/>
      <c r="C23" s="581"/>
      <c r="D23" s="581"/>
      <c r="E23" s="581"/>
      <c r="F23" s="1777">
        <f>SUM(C23+D23)-E23</f>
        <v>0</v>
      </c>
      <c r="G23" s="552"/>
    </row>
    <row r="24" spans="1:11" ht="15.75" customHeight="1" thickTop="1" x14ac:dyDescent="0.2">
      <c r="A24" s="2214" t="s">
        <v>1175</v>
      </c>
      <c r="B24" s="2215"/>
      <c r="C24" s="2209"/>
      <c r="D24" s="2210"/>
      <c r="E24" s="2210"/>
      <c r="F24" s="2211"/>
    </row>
    <row r="25" spans="1:11" ht="13.5" thickBot="1" x14ac:dyDescent="0.25">
      <c r="A25" s="2216" t="s">
        <v>655</v>
      </c>
      <c r="B25" s="2217"/>
      <c r="C25" s="581"/>
      <c r="D25" s="581"/>
      <c r="E25" s="581"/>
      <c r="F25" s="1777">
        <f>SUM(C25+D25)-E25</f>
        <v>0</v>
      </c>
      <c r="G25" s="552"/>
    </row>
    <row r="26" spans="1:11" ht="15.75" customHeight="1" thickTop="1" x14ac:dyDescent="0.2">
      <c r="A26" s="2220" t="s">
        <v>678</v>
      </c>
      <c r="B26" s="2215"/>
      <c r="C26" s="728"/>
      <c r="D26" s="728"/>
      <c r="E26" s="728"/>
      <c r="F26" s="729"/>
    </row>
    <row r="27" spans="1:11" ht="13.5" thickBot="1" x14ac:dyDescent="0.25">
      <c r="A27" s="2212" t="s">
        <v>1130</v>
      </c>
      <c r="B27" s="2213"/>
      <c r="C27" s="585"/>
      <c r="D27" s="585"/>
      <c r="E27" s="585"/>
      <c r="F27" s="1777">
        <f>SUM(C27+D27)-E27</f>
        <v>0</v>
      </c>
      <c r="G27" s="552"/>
    </row>
    <row r="28" spans="1:11" ht="7.5" customHeight="1" thickTop="1" x14ac:dyDescent="0.2">
      <c r="A28" s="594"/>
    </row>
    <row r="29" spans="1:11" ht="23.25" customHeight="1" x14ac:dyDescent="0.2">
      <c r="A29" s="2218" t="s">
        <v>603</v>
      </c>
      <c r="B29" s="2219"/>
      <c r="C29" s="730"/>
      <c r="D29" s="730"/>
      <c r="E29" s="730"/>
      <c r="F29" s="730"/>
      <c r="G29" s="730"/>
      <c r="H29" s="730"/>
      <c r="I29" s="730"/>
      <c r="J29" s="730"/>
    </row>
    <row r="30" spans="1:11" ht="33.75" x14ac:dyDescent="0.2">
      <c r="A30" s="1551" t="s">
        <v>1131</v>
      </c>
      <c r="B30" s="731" t="s">
        <v>1186</v>
      </c>
      <c r="C30" s="1910" t="s">
        <v>604</v>
      </c>
      <c r="D30" s="1910" t="s">
        <v>1772</v>
      </c>
      <c r="E30" s="1910" t="s">
        <v>2036</v>
      </c>
      <c r="F30" s="1910" t="s">
        <v>2037</v>
      </c>
      <c r="G30" s="1910" t="s">
        <v>2040</v>
      </c>
      <c r="H30" s="1910" t="s">
        <v>2038</v>
      </c>
      <c r="I30" s="1910" t="s">
        <v>2039</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968</v>
      </c>
      <c r="B52" s="2201" t="s">
        <v>605</v>
      </c>
      <c r="C52" s="2202"/>
      <c r="D52" s="2202"/>
      <c r="E52" s="750" t="s">
        <v>900</v>
      </c>
      <c r="F52" s="2203"/>
      <c r="G52" s="2204"/>
      <c r="H52" s="737"/>
      <c r="I52" s="737"/>
      <c r="J52" s="747"/>
    </row>
    <row r="53" spans="1:11" ht="11.25" customHeight="1" x14ac:dyDescent="0.2">
      <c r="A53" s="751" t="s">
        <v>969</v>
      </c>
      <c r="B53" s="752" t="s">
        <v>1008</v>
      </c>
      <c r="C53" s="747"/>
      <c r="D53" s="738"/>
      <c r="E53" s="750" t="s">
        <v>518</v>
      </c>
      <c r="F53" s="2205"/>
      <c r="G53" s="2206"/>
      <c r="H53" s="737"/>
      <c r="I53" s="737"/>
      <c r="J53" s="747"/>
    </row>
    <row r="54" spans="1:11" ht="11.25" customHeight="1" x14ac:dyDescent="0.2">
      <c r="A54" s="753" t="s">
        <v>970</v>
      </c>
      <c r="B54" s="748" t="s">
        <v>1009</v>
      </c>
      <c r="C54" s="747"/>
      <c r="D54" s="738"/>
      <c r="E54" s="750" t="s">
        <v>519</v>
      </c>
      <c r="F54" s="2205"/>
      <c r="G54" s="220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D80" sqref="D8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911</v>
      </c>
      <c r="B1" s="2231"/>
      <c r="C1" s="2231"/>
      <c r="D1" s="2231"/>
      <c r="E1" s="2231"/>
      <c r="F1" s="2231"/>
      <c r="G1" s="2232"/>
      <c r="H1" s="1552"/>
      <c r="I1" s="761"/>
      <c r="J1" s="433"/>
    </row>
    <row r="2" spans="1:11" ht="26.25" x14ac:dyDescent="0.2">
      <c r="A2" s="2249" t="s">
        <v>1776</v>
      </c>
      <c r="B2" s="2250"/>
      <c r="C2" s="2250"/>
      <c r="D2" s="2250"/>
      <c r="E2" s="2251"/>
      <c r="F2" s="762" t="s">
        <v>960</v>
      </c>
      <c r="G2" s="763" t="s">
        <v>1773</v>
      </c>
      <c r="H2" s="763" t="s">
        <v>430</v>
      </c>
      <c r="I2" s="763" t="s">
        <v>1220</v>
      </c>
      <c r="J2" s="763" t="s">
        <v>1917</v>
      </c>
      <c r="K2" s="763" t="s">
        <v>140</v>
      </c>
    </row>
    <row r="3" spans="1:11" x14ac:dyDescent="0.2">
      <c r="A3" s="2252" t="s">
        <v>1698</v>
      </c>
      <c r="B3" s="2253"/>
      <c r="C3" s="2253"/>
      <c r="D3" s="2253"/>
      <c r="E3" s="2254"/>
      <c r="F3" s="764"/>
      <c r="G3" s="765"/>
      <c r="H3" s="765"/>
      <c r="I3" s="765"/>
      <c r="J3" s="766"/>
      <c r="K3" s="766"/>
    </row>
    <row r="4" spans="1:11" x14ac:dyDescent="0.2">
      <c r="A4" s="2255" t="s">
        <v>387</v>
      </c>
      <c r="B4" s="2256"/>
      <c r="C4" s="2256"/>
      <c r="D4" s="2256"/>
      <c r="E4" s="2202"/>
      <c r="F4" s="767"/>
      <c r="G4" s="768"/>
      <c r="H4" s="769"/>
      <c r="I4" s="768"/>
      <c r="J4" s="770"/>
      <c r="K4" s="770"/>
    </row>
    <row r="5" spans="1:11" x14ac:dyDescent="0.2">
      <c r="A5" s="2233" t="s">
        <v>1129</v>
      </c>
      <c r="B5" s="2234"/>
      <c r="C5" s="2234"/>
      <c r="D5" s="2234"/>
      <c r="E5" s="2235"/>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3" t="s">
        <v>1918</v>
      </c>
      <c r="B10" s="2234"/>
      <c r="C10" s="2234"/>
      <c r="D10" s="2234"/>
      <c r="E10" s="2236"/>
      <c r="F10" s="784" t="s">
        <v>917</v>
      </c>
      <c r="G10" s="783"/>
      <c r="H10" s="785"/>
      <c r="I10" s="765"/>
      <c r="J10" s="766"/>
      <c r="K10" s="766"/>
    </row>
    <row r="11" spans="1:11" x14ac:dyDescent="0.2">
      <c r="A11" s="2233" t="s">
        <v>162</v>
      </c>
      <c r="B11" s="2234"/>
      <c r="C11" s="2234"/>
      <c r="D11" s="2234"/>
      <c r="E11" s="2235"/>
      <c r="F11" s="771" t="s">
        <v>907</v>
      </c>
      <c r="G11" s="772"/>
      <c r="H11" s="765"/>
      <c r="I11" s="765"/>
      <c r="J11" s="766"/>
      <c r="K11" s="774"/>
    </row>
    <row r="12" spans="1:11" ht="13.5" thickBot="1" x14ac:dyDescent="0.25">
      <c r="A12" s="2260" t="s">
        <v>961</v>
      </c>
      <c r="B12" s="2261"/>
      <c r="C12" s="2261"/>
      <c r="D12" s="2261"/>
      <c r="E12" s="2262"/>
      <c r="F12" s="1779"/>
      <c r="G12" s="1780">
        <f>SUM(G5:G11)</f>
        <v>0</v>
      </c>
      <c r="H12" s="1780">
        <f>SUM(H5:H11)</f>
        <v>0</v>
      </c>
      <c r="I12" s="1780">
        <f>SUM(I5:I11)</f>
        <v>0</v>
      </c>
      <c r="J12" s="1780">
        <f>SUM(J5:J11)</f>
        <v>0</v>
      </c>
      <c r="K12" s="1780">
        <f>SUM(K5:K11)</f>
        <v>0</v>
      </c>
    </row>
    <row r="13" spans="1:11" ht="13.5" thickTop="1" x14ac:dyDescent="0.2">
      <c r="A13" s="2257" t="s">
        <v>388</v>
      </c>
      <c r="B13" s="2258"/>
      <c r="C13" s="2258"/>
      <c r="D13" s="2258"/>
      <c r="E13" s="2259"/>
      <c r="F13" s="786"/>
      <c r="G13" s="787"/>
      <c r="H13" s="788"/>
      <c r="I13" s="789"/>
      <c r="J13" s="789"/>
      <c r="K13" s="789"/>
    </row>
    <row r="14" spans="1:11" x14ac:dyDescent="0.2">
      <c r="A14" s="2240" t="s">
        <v>476</v>
      </c>
      <c r="B14" s="2240"/>
      <c r="C14" s="2240"/>
      <c r="D14" s="2240"/>
      <c r="E14" s="2241"/>
      <c r="F14" s="790" t="s">
        <v>909</v>
      </c>
      <c r="G14" s="783"/>
      <c r="H14" s="765"/>
      <c r="I14" s="772"/>
      <c r="J14" s="774"/>
      <c r="K14" s="766"/>
    </row>
    <row r="15" spans="1:11" x14ac:dyDescent="0.2">
      <c r="A15" s="2234" t="s">
        <v>4</v>
      </c>
      <c r="B15" s="2234"/>
      <c r="C15" s="2234"/>
      <c r="D15" s="2234"/>
      <c r="E15" s="2235"/>
      <c r="F15" s="790" t="s">
        <v>910</v>
      </c>
      <c r="G15" s="772"/>
      <c r="H15" s="765"/>
      <c r="I15" s="765"/>
      <c r="J15" s="766"/>
      <c r="K15" s="766"/>
    </row>
    <row r="16" spans="1:11" x14ac:dyDescent="0.2">
      <c r="A16" s="2234" t="s">
        <v>316</v>
      </c>
      <c r="B16" s="2234"/>
      <c r="C16" s="2234"/>
      <c r="D16" s="2234"/>
      <c r="E16" s="2235"/>
      <c r="F16" s="790" t="s">
        <v>980</v>
      </c>
      <c r="G16" s="773"/>
      <c r="H16" s="768"/>
      <c r="I16" s="768"/>
      <c r="J16" s="770"/>
      <c r="K16" s="770"/>
    </row>
    <row r="17" spans="1:11" x14ac:dyDescent="0.2">
      <c r="A17" s="2265" t="s">
        <v>992</v>
      </c>
      <c r="B17" s="2265"/>
      <c r="C17" s="2265"/>
      <c r="D17" s="2265"/>
      <c r="E17" s="2266"/>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42" t="s">
        <v>1914</v>
      </c>
      <c r="B19" s="2242"/>
      <c r="C19" s="2242"/>
      <c r="D19" s="2242"/>
      <c r="E19" s="2243"/>
      <c r="F19" s="790" t="s">
        <v>990</v>
      </c>
      <c r="G19" s="783"/>
      <c r="H19" s="783"/>
      <c r="I19" s="783"/>
      <c r="J19" s="766"/>
      <c r="K19" s="796"/>
    </row>
    <row r="20" spans="1:11" x14ac:dyDescent="0.2">
      <c r="A20" s="2244" t="s">
        <v>1919</v>
      </c>
      <c r="B20" s="2245"/>
      <c r="C20" s="2245"/>
      <c r="D20" s="2245"/>
      <c r="E20" s="2246"/>
      <c r="F20" s="790" t="s">
        <v>991</v>
      </c>
      <c r="G20" s="783"/>
      <c r="H20" s="783"/>
      <c r="I20" s="783"/>
      <c r="J20" s="766"/>
      <c r="K20" s="796"/>
    </row>
    <row r="21" spans="1:11" ht="13.5" thickBot="1" x14ac:dyDescent="0.25">
      <c r="A21" s="2263" t="s">
        <v>659</v>
      </c>
      <c r="B21" s="2263"/>
      <c r="C21" s="2263"/>
      <c r="D21" s="2263"/>
      <c r="E21" s="2263"/>
      <c r="F21" s="1781"/>
      <c r="G21" s="793"/>
      <c r="H21" s="797"/>
      <c r="I21" s="797"/>
      <c r="J21" s="1782">
        <f>SUM(J18:J20)</f>
        <v>0</v>
      </c>
      <c r="K21" s="794"/>
    </row>
    <row r="22" spans="1:11" ht="13.5" thickTop="1" x14ac:dyDescent="0.2">
      <c r="A22" s="2234" t="s">
        <v>1920</v>
      </c>
      <c r="B22" s="2234"/>
      <c r="C22" s="2234"/>
      <c r="D22" s="2234"/>
      <c r="E22" s="2235"/>
      <c r="F22" s="790" t="s">
        <v>917</v>
      </c>
      <c r="G22" s="783"/>
      <c r="H22" s="765"/>
      <c r="I22" s="765"/>
      <c r="J22" s="798"/>
      <c r="K22" s="766"/>
    </row>
    <row r="23" spans="1:11" ht="13.5" thickBot="1" x14ac:dyDescent="0.25">
      <c r="A23" s="2264" t="s">
        <v>962</v>
      </c>
      <c r="B23" s="2263"/>
      <c r="C23" s="2263"/>
      <c r="D23" s="2263"/>
      <c r="E23" s="2263"/>
      <c r="F23" s="1783"/>
      <c r="G23" s="1780">
        <f>SUM(G14:G16,G21,G22)</f>
        <v>0</v>
      </c>
      <c r="H23" s="1780">
        <f>SUM(H14:H16,H21,H22)</f>
        <v>0</v>
      </c>
      <c r="I23" s="1780">
        <f>SUM(I14:I16,I21,I22)</f>
        <v>0</v>
      </c>
      <c r="J23" s="1780">
        <f>SUM(J14:J16,J21,J22)</f>
        <v>0</v>
      </c>
      <c r="K23" s="1780">
        <f>SUM(K14:K16,K21,K22)</f>
        <v>0</v>
      </c>
    </row>
    <row r="24" spans="1:11" ht="14.25" thickTop="1" thickBot="1" x14ac:dyDescent="0.25">
      <c r="A24" s="2264" t="s">
        <v>2022</v>
      </c>
      <c r="B24" s="2263"/>
      <c r="C24" s="2263"/>
      <c r="D24" s="2263"/>
      <c r="E24" s="226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2032</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7"/>
      <c r="I31" s="2238"/>
      <c r="J31" s="2238"/>
      <c r="K31" s="2238"/>
    </row>
    <row r="32" spans="1:11" x14ac:dyDescent="0.2">
      <c r="A32" s="810"/>
      <c r="B32" s="237"/>
      <c r="C32" s="237"/>
      <c r="D32" s="237"/>
      <c r="E32" s="806"/>
      <c r="F32" s="812" t="s">
        <v>561</v>
      </c>
      <c r="G32" s="765"/>
      <c r="H32" s="2239"/>
      <c r="I32" s="2238"/>
      <c r="J32" s="2238"/>
      <c r="K32" s="2238"/>
    </row>
    <row r="33" spans="1:11" ht="1.5" customHeight="1" x14ac:dyDescent="0.2">
      <c r="A33" s="813" t="s">
        <v>1231</v>
      </c>
      <c r="B33" s="364"/>
      <c r="C33" s="364"/>
      <c r="D33" s="364"/>
      <c r="E33" s="364"/>
      <c r="F33" s="364"/>
      <c r="G33" s="814"/>
      <c r="H33" s="2239"/>
      <c r="I33" s="2238"/>
      <c r="J33" s="2238"/>
      <c r="K33" s="2238"/>
    </row>
    <row r="34" spans="1:11" x14ac:dyDescent="0.2">
      <c r="A34" s="815" t="s">
        <v>1921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47"/>
      <c r="C41" s="2247"/>
      <c r="D41" s="2247"/>
      <c r="E41" s="2247"/>
      <c r="F41" s="224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1915</v>
      </c>
      <c r="B46" s="408" t="s">
        <v>1774</v>
      </c>
    </row>
    <row r="47" spans="1:11" s="824" customFormat="1" ht="12.75" customHeight="1" x14ac:dyDescent="0.2">
      <c r="A47" s="822"/>
      <c r="B47" s="823" t="s">
        <v>1775</v>
      </c>
      <c r="E47" s="823"/>
      <c r="K47" s="825"/>
    </row>
    <row r="48" spans="1:11" ht="12.75" customHeight="1" x14ac:dyDescent="0.2">
      <c r="A48" s="1554"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80" sqref="D8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2031</v>
      </c>
      <c r="B1" s="2270"/>
      <c r="C1" s="2271"/>
      <c r="D1" s="827"/>
      <c r="E1" s="828"/>
      <c r="F1" s="828"/>
      <c r="G1" s="829"/>
      <c r="H1" s="830"/>
      <c r="I1" s="831"/>
      <c r="J1" s="2267"/>
      <c r="K1" s="2268"/>
      <c r="L1" s="2268"/>
    </row>
    <row r="2" spans="1:14" ht="69.75" customHeight="1" x14ac:dyDescent="0.2">
      <c r="A2" s="832" t="s">
        <v>1777</v>
      </c>
      <c r="B2" s="833" t="s">
        <v>396</v>
      </c>
      <c r="C2" s="834" t="s">
        <v>2026</v>
      </c>
      <c r="D2" s="834" t="s">
        <v>2023</v>
      </c>
      <c r="E2" s="834" t="s">
        <v>2024</v>
      </c>
      <c r="F2" s="834" t="s">
        <v>2025</v>
      </c>
      <c r="G2" s="834" t="s">
        <v>626</v>
      </c>
      <c r="H2" s="834" t="s">
        <v>2027</v>
      </c>
      <c r="I2" s="834" t="s">
        <v>2028</v>
      </c>
      <c r="J2" s="834" t="s">
        <v>2043</v>
      </c>
      <c r="K2" s="834" t="s">
        <v>2029</v>
      </c>
      <c r="L2" s="834" t="s">
        <v>2030</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2">
        <f>(C8+D8)-E8</f>
        <v>0</v>
      </c>
      <c r="G8" s="844">
        <v>50</v>
      </c>
      <c r="H8" s="766"/>
      <c r="I8" s="766"/>
      <c r="J8" s="766"/>
      <c r="K8" s="1791">
        <f>(H8+I8)-J8</f>
        <v>0</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118247</v>
      </c>
      <c r="D12" s="845">
        <v>40506</v>
      </c>
      <c r="E12" s="845"/>
      <c r="F12" s="1782">
        <f>(C12+D12)-E12</f>
        <v>158753</v>
      </c>
      <c r="G12" s="844">
        <v>10</v>
      </c>
      <c r="H12" s="766">
        <v>76764</v>
      </c>
      <c r="I12" s="766">
        <v>6174</v>
      </c>
      <c r="J12" s="766"/>
      <c r="K12" s="1791">
        <f>(H12+I12)-J12</f>
        <v>82938</v>
      </c>
      <c r="L12" s="1791">
        <f>F12-K12</f>
        <v>75815</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118247</v>
      </c>
      <c r="D16" s="1782">
        <f>SUM(D3,D5:D6,D8:D10,D12:D15)</f>
        <v>40506</v>
      </c>
      <c r="E16" s="1782">
        <f>SUM(E3,E5:E6,E8:E10,E12:E15)</f>
        <v>0</v>
      </c>
      <c r="F16" s="1782">
        <f>SUM(F3,F5:F6,F8:F10,F12:F15)</f>
        <v>158753</v>
      </c>
      <c r="G16" s="844"/>
      <c r="H16" s="1782">
        <f>SUM(H3,H6,H8:H10,H12:H14,)</f>
        <v>76764</v>
      </c>
      <c r="I16" s="1782">
        <f>SUM(I3,I6,I8:I10,I12:I14,)</f>
        <v>6174</v>
      </c>
      <c r="J16" s="1782">
        <f>SUM(J3,J6,J8:J10,J12:J14,)</f>
        <v>0</v>
      </c>
      <c r="K16" s="1782">
        <f>(H16+I16)-J16</f>
        <v>82938</v>
      </c>
      <c r="L16" s="1782">
        <f>F16-K16</f>
        <v>75815</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6174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D80" sqref="D80"/>
      <selection pane="bottomLeft" activeCell="A6" sqref="A6:F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3227527</v>
      </c>
      <c r="G8" s="866"/>
    </row>
    <row r="9" spans="1:7" x14ac:dyDescent="0.2">
      <c r="A9" s="870" t="s">
        <v>480</v>
      </c>
      <c r="B9" s="871" t="s">
        <v>1986</v>
      </c>
      <c r="C9" s="872"/>
      <c r="D9" s="870" t="s">
        <v>522</v>
      </c>
      <c r="E9" s="869"/>
      <c r="F9" s="1935">
        <f>'Expenditures 15-22'!K151</f>
        <v>0</v>
      </c>
      <c r="G9" s="873"/>
    </row>
    <row r="10" spans="1:7" x14ac:dyDescent="0.2">
      <c r="A10" s="870" t="s">
        <v>520</v>
      </c>
      <c r="B10" s="871" t="s">
        <v>1987</v>
      </c>
      <c r="C10" s="872"/>
      <c r="D10" s="870" t="s">
        <v>522</v>
      </c>
      <c r="E10" s="869"/>
      <c r="F10" s="1935">
        <f>'Expenditures 15-22'!K174</f>
        <v>0</v>
      </c>
      <c r="G10" s="873"/>
    </row>
    <row r="11" spans="1:7" x14ac:dyDescent="0.2">
      <c r="A11" s="870" t="s">
        <v>481</v>
      </c>
      <c r="B11" s="871" t="s">
        <v>1988</v>
      </c>
      <c r="C11" s="872"/>
      <c r="D11" s="870" t="s">
        <v>522</v>
      </c>
      <c r="E11" s="869"/>
      <c r="F11" s="1935">
        <f>'Expenditures 15-22'!K210</f>
        <v>0</v>
      </c>
      <c r="G11" s="873"/>
    </row>
    <row r="12" spans="1:7" x14ac:dyDescent="0.2">
      <c r="A12" s="870" t="s">
        <v>482</v>
      </c>
      <c r="B12" s="871" t="s">
        <v>1989</v>
      </c>
      <c r="C12" s="872"/>
      <c r="D12" s="870" t="s">
        <v>522</v>
      </c>
      <c r="E12" s="869"/>
      <c r="F12" s="1935">
        <f>'Expenditures 15-22'!K295</f>
        <v>0</v>
      </c>
      <c r="G12" s="873"/>
    </row>
    <row r="13" spans="1:7" x14ac:dyDescent="0.2">
      <c r="A13" s="870" t="s">
        <v>108</v>
      </c>
      <c r="B13" s="871" t="s">
        <v>1990</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3227527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958941</v>
      </c>
      <c r="G53" s="866"/>
    </row>
    <row r="54" spans="1:7" x14ac:dyDescent="0.2">
      <c r="A54" s="870" t="s">
        <v>479</v>
      </c>
      <c r="B54" s="870" t="s">
        <v>1552</v>
      </c>
      <c r="C54" s="890" t="s">
        <v>1039</v>
      </c>
      <c r="D54" s="886" t="s">
        <v>1157</v>
      </c>
      <c r="E54" s="869"/>
      <c r="F54" s="1939">
        <f>'Expenditures 15-22'!G114</f>
        <v>40506</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9">
        <f>'Expenditures 15-22'!K139</f>
        <v>0</v>
      </c>
      <c r="G57" s="866"/>
    </row>
    <row r="58" spans="1:7" x14ac:dyDescent="0.2">
      <c r="A58" s="870" t="s">
        <v>480</v>
      </c>
      <c r="B58" s="870" t="s">
        <v>1992</v>
      </c>
      <c r="C58" s="887" t="s">
        <v>1039</v>
      </c>
      <c r="D58" s="886" t="s">
        <v>1157</v>
      </c>
      <c r="E58" s="869"/>
      <c r="F58" s="1941">
        <f>'Expenditures 15-22'!G151</f>
        <v>0</v>
      </c>
      <c r="G58" s="866"/>
    </row>
    <row r="59" spans="1:7" x14ac:dyDescent="0.2">
      <c r="A59" s="894" t="s">
        <v>480</v>
      </c>
      <c r="B59" s="857" t="s">
        <v>1993</v>
      </c>
      <c r="C59" s="895" t="s">
        <v>1039</v>
      </c>
      <c r="D59" s="857" t="s">
        <v>309</v>
      </c>
      <c r="F59" s="1942">
        <f>'Expenditures 15-22'!I151</f>
        <v>0</v>
      </c>
      <c r="G59" s="866"/>
    </row>
    <row r="60" spans="1:7" x14ac:dyDescent="0.2">
      <c r="A60" s="894" t="s">
        <v>520</v>
      </c>
      <c r="B60" s="857" t="s">
        <v>1994</v>
      </c>
      <c r="C60" s="895">
        <v>4000</v>
      </c>
      <c r="D60" s="857" t="s">
        <v>330</v>
      </c>
      <c r="F60" s="1940">
        <f>'Expenditures 15-22'!K160</f>
        <v>0</v>
      </c>
      <c r="G60" s="866"/>
    </row>
    <row r="61" spans="1:7" x14ac:dyDescent="0.2">
      <c r="A61" s="896" t="s">
        <v>520</v>
      </c>
      <c r="B61" s="896" t="s">
        <v>1995</v>
      </c>
      <c r="C61" s="897" t="str">
        <f>'Expenditures 15-22'!B170</f>
        <v>5300</v>
      </c>
      <c r="D61" s="898" t="s">
        <v>329</v>
      </c>
      <c r="E61" s="880"/>
      <c r="F61" s="1939">
        <f>'Expenditures 15-22'!K170</f>
        <v>0</v>
      </c>
      <c r="G61" s="866"/>
    </row>
    <row r="62" spans="1:7" x14ac:dyDescent="0.2">
      <c r="A62" s="870" t="s">
        <v>481</v>
      </c>
      <c r="B62" s="870" t="s">
        <v>1996</v>
      </c>
      <c r="C62" s="887">
        <f>'Expenditures 15-22'!B185</f>
        <v>3000</v>
      </c>
      <c r="D62" s="877" t="s">
        <v>469</v>
      </c>
      <c r="E62" s="869"/>
      <c r="F62" s="1939">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1998</v>
      </c>
      <c r="C64" s="897" t="str">
        <f>'Expenditures 15-22'!B206</f>
        <v>5300</v>
      </c>
      <c r="D64" s="893" t="s">
        <v>329</v>
      </c>
      <c r="E64" s="869"/>
      <c r="F64" s="1939">
        <f>'Expenditures 15-22'!K206</f>
        <v>0</v>
      </c>
      <c r="G64" s="866"/>
    </row>
    <row r="65" spans="1:8" x14ac:dyDescent="0.2">
      <c r="A65" s="870" t="s">
        <v>481</v>
      </c>
      <c r="B65" s="870" t="s">
        <v>1999</v>
      </c>
      <c r="C65" s="887" t="s">
        <v>1039</v>
      </c>
      <c r="D65" s="886" t="s">
        <v>1157</v>
      </c>
      <c r="E65" s="869"/>
      <c r="F65" s="1939">
        <f>'Expenditures 15-22'!G210</f>
        <v>0</v>
      </c>
      <c r="G65" s="866"/>
    </row>
    <row r="66" spans="1:8" x14ac:dyDescent="0.2">
      <c r="A66" s="870" t="s">
        <v>481</v>
      </c>
      <c r="B66" s="870" t="s">
        <v>2000</v>
      </c>
      <c r="C66" s="887" t="s">
        <v>1039</v>
      </c>
      <c r="D66" s="886" t="s">
        <v>309</v>
      </c>
      <c r="E66" s="869"/>
      <c r="F66" s="1939">
        <f>'Expenditures 15-22'!I210</f>
        <v>0</v>
      </c>
      <c r="G66" s="866"/>
    </row>
    <row r="67" spans="1:8" x14ac:dyDescent="0.2">
      <c r="A67" s="870" t="s">
        <v>482</v>
      </c>
      <c r="B67" s="870" t="s">
        <v>2001</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2003</v>
      </c>
      <c r="C70" s="887">
        <f>'Expenditures 15-22'!B221</f>
        <v>1300</v>
      </c>
      <c r="D70" s="888" t="str">
        <f>'Expenditures 15-22'!A221</f>
        <v>Adult/Continuing Education Programs</v>
      </c>
      <c r="E70" s="869"/>
      <c r="F70" s="1939">
        <f>'Expenditures 15-22'!K221</f>
        <v>0</v>
      </c>
      <c r="G70" s="866"/>
    </row>
    <row r="71" spans="1:8" x14ac:dyDescent="0.2">
      <c r="A71" s="870" t="s">
        <v>482</v>
      </c>
      <c r="B71" s="870" t="s">
        <v>2004</v>
      </c>
      <c r="C71" s="887">
        <f>'Expenditures 15-22'!B224</f>
        <v>1600</v>
      </c>
      <c r="D71" s="888" t="str">
        <f>'Expenditures 15-22'!A224</f>
        <v>Summer School Programs</v>
      </c>
      <c r="E71" s="869"/>
      <c r="F71" s="1939">
        <f>'Expenditures 15-22'!K224</f>
        <v>0</v>
      </c>
      <c r="G71" s="866"/>
    </row>
    <row r="72" spans="1:8" x14ac:dyDescent="0.2">
      <c r="A72" s="870" t="s">
        <v>482</v>
      </c>
      <c r="B72" s="870" t="s">
        <v>2005</v>
      </c>
      <c r="C72" s="887">
        <f>'Expenditures 15-22'!B280</f>
        <v>3000</v>
      </c>
      <c r="D72" s="877" t="s">
        <v>469</v>
      </c>
      <c r="E72" s="869"/>
      <c r="F72" s="1939">
        <f>'Expenditures 15-22'!K280</f>
        <v>0</v>
      </c>
      <c r="G72" s="866"/>
    </row>
    <row r="73" spans="1:8" x14ac:dyDescent="0.2">
      <c r="A73" s="870" t="s">
        <v>482</v>
      </c>
      <c r="B73" s="870" t="s">
        <v>2006</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2007</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2008</v>
      </c>
      <c r="E76" s="1796" t="s">
        <v>1015</v>
      </c>
      <c r="F76" s="1800">
        <f>SUM(F18:F74)</f>
        <v>999447</v>
      </c>
      <c r="G76" s="866"/>
    </row>
    <row r="77" spans="1:8" s="894" customFormat="1" ht="12" customHeight="1" thickTop="1" thickBot="1" x14ac:dyDescent="0.25">
      <c r="A77" s="1801"/>
      <c r="B77" s="1798"/>
      <c r="C77" s="1794"/>
      <c r="D77" s="1799" t="s">
        <v>2009</v>
      </c>
      <c r="E77" s="1796"/>
      <c r="F77" s="1802">
        <f>(F14-F76)</f>
        <v>2228080</v>
      </c>
      <c r="G77" s="870"/>
    </row>
    <row r="78" spans="1:8" s="894" customFormat="1" ht="12" customHeight="1" thickTop="1" x14ac:dyDescent="0.2">
      <c r="A78" s="1803"/>
      <c r="B78" s="1798"/>
      <c r="C78" s="1794"/>
      <c r="D78" s="1799" t="s">
        <v>2055</v>
      </c>
      <c r="E78" s="1796"/>
      <c r="F78" s="899">
        <v>0</v>
      </c>
      <c r="G78" s="900"/>
      <c r="H78" s="870"/>
    </row>
    <row r="79" spans="1:8" s="894" customFormat="1" ht="12" customHeight="1" thickBot="1" x14ac:dyDescent="0.25">
      <c r="A79" s="1804"/>
      <c r="B79" s="1798"/>
      <c r="C79" s="1794"/>
      <c r="D79" s="1799" t="s">
        <v>2010</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3423</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133478</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920196</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15458</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29348</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2054</v>
      </c>
      <c r="C175" s="1946">
        <v>3100</v>
      </c>
      <c r="D175" s="1947" t="s">
        <v>2057</v>
      </c>
      <c r="E175" s="907"/>
      <c r="F175" s="1931"/>
      <c r="G175" s="928"/>
    </row>
    <row r="176" spans="1:7" x14ac:dyDescent="0.2">
      <c r="A176" s="1944" t="s">
        <v>685</v>
      </c>
      <c r="B176" s="1945" t="s">
        <v>2054</v>
      </c>
      <c r="C176" s="1946">
        <v>3300</v>
      </c>
      <c r="D176" s="1947" t="s">
        <v>2058</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2011</v>
      </c>
      <c r="E178" s="1809" t="s">
        <v>1015</v>
      </c>
      <c r="F178" s="1810">
        <f>SUM(F84:F136,F161:F176)</f>
        <v>1101903</v>
      </c>
    </row>
    <row r="179" spans="1:7" ht="12" customHeight="1" x14ac:dyDescent="0.2">
      <c r="A179" s="1792"/>
      <c r="B179" s="1806"/>
      <c r="C179" s="1807"/>
      <c r="D179" s="1808" t="s">
        <v>2012</v>
      </c>
      <c r="E179" s="1809"/>
      <c r="F179" s="1811">
        <f>'PCTC-OEPP 27-28'!F77-F178</f>
        <v>1126177</v>
      </c>
    </row>
    <row r="180" spans="1:7" ht="12" customHeight="1" x14ac:dyDescent="0.2">
      <c r="A180" s="1792"/>
      <c r="B180" s="1806"/>
      <c r="C180" s="1807"/>
      <c r="D180" s="1808" t="s">
        <v>1922</v>
      </c>
      <c r="E180" s="1809"/>
      <c r="F180" s="1811">
        <f>'Cap Outlay Deprec 26'!I18</f>
        <v>6174</v>
      </c>
    </row>
    <row r="181" spans="1:7" ht="12" customHeight="1" x14ac:dyDescent="0.2">
      <c r="A181" s="1792"/>
      <c r="B181" s="1806"/>
      <c r="C181" s="1807"/>
      <c r="D181" s="1808" t="s">
        <v>2013</v>
      </c>
      <c r="E181" s="1809"/>
      <c r="F181" s="1811">
        <f>F179+F180</f>
        <v>1132351</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2014</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8" customFormat="1" ht="12.2" customHeight="1" x14ac:dyDescent="0.2">
      <c r="A186" s="1948" t="s">
        <v>2061</v>
      </c>
      <c r="B186" s="1949"/>
      <c r="C186" s="1950"/>
      <c r="D186" s="1949"/>
      <c r="E186" s="1950"/>
      <c r="F186" s="1949"/>
      <c r="G186" s="1949"/>
    </row>
    <row r="187" spans="1:7" s="1948" customFormat="1" ht="12.2" customHeight="1" x14ac:dyDescent="0.2">
      <c r="A187" s="1951" t="s">
        <v>2062</v>
      </c>
      <c r="C187" s="1950"/>
      <c r="D187" s="1949"/>
      <c r="E187" s="1950"/>
      <c r="F187" s="1949"/>
      <c r="G187" s="1949"/>
    </row>
    <row r="188" spans="1:7" ht="12" customHeight="1" x14ac:dyDescent="0.2">
      <c r="C188" s="950"/>
      <c r="D188" s="931"/>
      <c r="E188" s="950"/>
      <c r="F188" s="931"/>
      <c r="G188" s="931"/>
    </row>
    <row r="189" spans="1:7" x14ac:dyDescent="0.2">
      <c r="A189" s="1952" t="s">
        <v>2060</v>
      </c>
      <c r="B189" s="1953"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selection activeCell="D80" sqref="D80"/>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1938</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1923</v>
      </c>
      <c r="B4" s="2287"/>
      <c r="C4" s="2287"/>
      <c r="D4" s="2287"/>
      <c r="E4" s="2287"/>
      <c r="F4" s="2287"/>
      <c r="G4" s="2288"/>
    </row>
    <row r="5" spans="1:7" x14ac:dyDescent="0.25">
      <c r="A5" s="2289"/>
      <c r="B5" s="2290"/>
      <c r="C5" s="2290"/>
      <c r="D5" s="2290"/>
      <c r="E5" s="2290"/>
      <c r="F5" s="2290"/>
      <c r="G5" s="2291"/>
    </row>
    <row r="6" spans="1:7" ht="18.75" x14ac:dyDescent="0.25">
      <c r="A6" s="1556" t="s">
        <v>1924</v>
      </c>
      <c r="B6" s="1557"/>
      <c r="C6" s="1557"/>
      <c r="D6" s="1557"/>
      <c r="E6" s="1557"/>
      <c r="F6" s="1557"/>
      <c r="G6" s="1558"/>
    </row>
    <row r="7" spans="1:7" ht="30.75" customHeight="1" x14ac:dyDescent="0.25">
      <c r="A7" s="2292" t="s">
        <v>2071</v>
      </c>
      <c r="B7" s="2293"/>
      <c r="C7" s="2293"/>
      <c r="D7" s="2293"/>
      <c r="E7" s="2293"/>
      <c r="F7" s="2293"/>
      <c r="G7" s="2294"/>
    </row>
    <row r="8" spans="1:7" ht="15.75" customHeight="1" x14ac:dyDescent="0.25">
      <c r="A8" s="2295" t="s">
        <v>2020</v>
      </c>
      <c r="B8" s="2296"/>
      <c r="C8" s="2296"/>
      <c r="D8" s="2296"/>
      <c r="E8" s="2296"/>
      <c r="F8" s="2296"/>
      <c r="G8" s="2297"/>
    </row>
    <row r="9" spans="1:7" ht="35.25" customHeight="1" x14ac:dyDescent="0.25">
      <c r="A9" s="2292" t="s">
        <v>2074</v>
      </c>
      <c r="B9" s="2293"/>
      <c r="C9" s="2293"/>
      <c r="D9" s="2293"/>
      <c r="E9" s="2293"/>
      <c r="F9" s="2293"/>
      <c r="G9" s="2294"/>
    </row>
    <row r="10" spans="1:7" ht="15" customHeight="1" x14ac:dyDescent="0.25">
      <c r="A10" s="1559" t="s">
        <v>1925</v>
      </c>
      <c r="B10" s="1560"/>
      <c r="C10" s="1560"/>
      <c r="D10" s="1560"/>
      <c r="E10" s="1560"/>
      <c r="F10" s="1560"/>
      <c r="G10" s="1561"/>
    </row>
    <row r="11" spans="1:7" ht="17.25" customHeight="1" x14ac:dyDescent="0.25">
      <c r="A11" s="2292" t="s">
        <v>2073</v>
      </c>
      <c r="B11" s="2293"/>
      <c r="C11" s="2293"/>
      <c r="D11" s="2293"/>
      <c r="E11" s="2293"/>
      <c r="F11" s="2293"/>
      <c r="G11" s="2294"/>
    </row>
    <row r="12" spans="1:7" ht="15" customHeight="1" x14ac:dyDescent="0.25">
      <c r="A12" s="1559" t="s">
        <v>1930</v>
      </c>
      <c r="B12" s="1560"/>
      <c r="C12" s="1560"/>
      <c r="D12" s="1560"/>
      <c r="E12" s="1560"/>
      <c r="F12" s="1560"/>
      <c r="G12" s="1561"/>
    </row>
    <row r="13" spans="1:7" ht="32.25" customHeight="1" x14ac:dyDescent="0.25">
      <c r="A13" s="2283" t="s">
        <v>1931</v>
      </c>
      <c r="B13" s="2284"/>
      <c r="C13" s="2284"/>
      <c r="D13" s="2284"/>
      <c r="E13" s="2284"/>
      <c r="F13" s="2284"/>
      <c r="G13" s="2285"/>
    </row>
    <row r="14" spans="1:7" x14ac:dyDescent="0.25">
      <c r="A14" s="1683" t="s">
        <v>1939</v>
      </c>
      <c r="B14" s="1684"/>
      <c r="C14" s="1684"/>
      <c r="D14" s="1684"/>
      <c r="E14" s="1684"/>
      <c r="F14" s="1684"/>
      <c r="G14" s="1685"/>
    </row>
    <row r="15" spans="1:7" ht="61.5" customHeight="1" x14ac:dyDescent="0.25">
      <c r="A15" s="1568" t="s">
        <v>1932</v>
      </c>
      <c r="B15" s="1568" t="s">
        <v>1933</v>
      </c>
      <c r="C15" s="1568" t="s">
        <v>1934</v>
      </c>
      <c r="D15" s="1569" t="s">
        <v>1935</v>
      </c>
      <c r="E15" s="1569" t="s">
        <v>1926</v>
      </c>
      <c r="F15" s="1569" t="s">
        <v>1936</v>
      </c>
      <c r="G15" s="1569" t="s">
        <v>1937</v>
      </c>
    </row>
    <row r="16" spans="1:7" x14ac:dyDescent="0.25">
      <c r="A16" s="1670" t="s">
        <v>1940</v>
      </c>
      <c r="B16" s="1671" t="s">
        <v>1929</v>
      </c>
      <c r="C16" s="1672" t="s">
        <v>1927</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D80" sqref="D8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c r="F10" s="975"/>
      <c r="G10" s="976"/>
      <c r="H10" s="162"/>
      <c r="I10" s="162"/>
    </row>
    <row r="11" spans="1:9" s="669" customFormat="1" ht="22.5" customHeight="1" x14ac:dyDescent="0.2">
      <c r="A11" s="2303" t="s">
        <v>1942</v>
      </c>
      <c r="B11" s="2304"/>
      <c r="C11" s="2304"/>
      <c r="D11" s="2305"/>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1860558</v>
      </c>
      <c r="F19" s="1822"/>
      <c r="G19" s="1824">
        <f>'Expenditures 15-22'!K33-SUM('Expenditures 15-22'!G33,'Expenditures 15-22'!I33)+'Expenditures 15-22'!D229</f>
        <v>1860558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4225</v>
      </c>
      <c r="F21" s="1825"/>
      <c r="G21" s="1828">
        <f>'Expenditures 15-22'!K42-SUM('Expenditures 15-22'!G42,'Expenditures 15-22'!I42)+'Expenditures 15-22'!K120-SUM('Expenditures 15-22'!G120,'Expenditures 15-22'!I120)+'Expenditures 15-22'!K180-SUM('Expenditures 15-22'!G180,'Expenditures 15-22'!I180)+'Expenditures 15-22'!D238</f>
        <v>4225</v>
      </c>
      <c r="H21" s="988"/>
      <c r="I21" s="162"/>
    </row>
    <row r="22" spans="1:9" s="669" customFormat="1" ht="12" customHeight="1" x14ac:dyDescent="0.2">
      <c r="A22" s="995" t="s">
        <v>585</v>
      </c>
      <c r="B22" s="996"/>
      <c r="C22" s="994">
        <v>2200</v>
      </c>
      <c r="D22" s="1825"/>
      <c r="E22" s="1827">
        <f>'Expenditures 15-22'!K47-SUM('Expenditures 15-22'!G47,'Expenditures 15-22'!I47)+'Expenditures 15-22'!D243</f>
        <v>13710</v>
      </c>
      <c r="F22" s="1825"/>
      <c r="G22" s="1828">
        <f>'Expenditures 15-22'!K47-SUM('Expenditures 15-22'!G47,'Expenditures 15-22'!I47)+'Expenditures 15-22'!D243</f>
        <v>13710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332415</v>
      </c>
      <c r="F23" s="1825"/>
      <c r="G23" s="1827">
        <f>'Expenditures 15-22'!K53-SUM('Expenditures 15-22'!G53,'Expenditures 15-22'!I53)+'Expenditures 15-22'!D257+'Expenditures 15-22'!K330-SUM('Expenditures 15-22'!G330,'Expenditures 15-22'!I330)</f>
        <v>332415</v>
      </c>
      <c r="H23" s="988"/>
      <c r="I23" s="162"/>
    </row>
    <row r="24" spans="1:9" s="669" customFormat="1" ht="12" customHeight="1" x14ac:dyDescent="0.2">
      <c r="A24" s="995" t="s">
        <v>587</v>
      </c>
      <c r="B24" s="996"/>
      <c r="C24" s="994">
        <v>2400</v>
      </c>
      <c r="D24" s="1825"/>
      <c r="E24" s="1827">
        <f>'Expenditures 15-22'!K57-SUM('Expenditures 15-22'!G57,'Expenditures 15-22'!I57)+'Expenditures 15-22'!D261</f>
        <v>0</v>
      </c>
      <c r="F24" s="1825"/>
      <c r="G24" s="1828">
        <f>'Expenditures 15-22'!K57-SUM('Expenditures 15-22'!G57,'Expenditures 15-22'!I57)+'Expenditures 15-22'!D261</f>
        <v>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0</v>
      </c>
      <c r="E27" s="1827">
        <f>E8</f>
        <v>0</v>
      </c>
      <c r="F27" s="1827">
        <f>'Expenditures 15-22'!K60-SUM('Expenditures 15-22'!G60,'Expenditures 15-22'!I60)+'Expenditures 15-22'!D264-E8</f>
        <v>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2250</v>
      </c>
      <c r="F28" s="1829">
        <f>'Expenditures 15-22'!K61-SUM('Expenditures 15-22'!G61,'Expenditures 15-22'!I61)+'Expenditures 15-22'!K124-SUM('Expenditures 15-22'!G124,'Expenditures 15-22'!I124)+'Expenditures 15-22'!D266-E9</f>
        <v>2250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547</v>
      </c>
      <c r="F29" s="1825"/>
      <c r="G29" s="1828">
        <f>'Expenditures 15-22'!K62-SUM('Expenditures 15-22'!G62,'Expenditures 15-22'!I62)+'Expenditures 15-22'!K125-SUM('Expenditures 15-22'!G125,'Expenditures 15-22'!I125)+'Expenditures 15-22'!K182-SUM('Expenditures 15-22'!G182,'Expenditures 15-22'!I182)+'Expenditures 15-22'!D267</f>
        <v>547</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14375</v>
      </c>
      <c r="E37" s="1827">
        <f>E14</f>
        <v>0</v>
      </c>
      <c r="F37" s="1827">
        <f>'Expenditures 15-22'!K71-SUM('Expenditures 15-22'!G71,'Expenditures 15-22'!I71)+'Expenditures 15-22'!D276-E14</f>
        <v>14375</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14375</v>
      </c>
      <c r="E41" s="1829">
        <f>SUM(E19:E40)</f>
        <v>2213705</v>
      </c>
      <c r="F41" s="1829">
        <f>SUM(F19:F39)</f>
        <v>16625</v>
      </c>
      <c r="G41" s="1829">
        <f>SUM(G19:G40)</f>
        <v>2211455</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14375</v>
      </c>
      <c r="F43" s="1830" t="s">
        <v>495</v>
      </c>
      <c r="G43" s="1831">
        <f>F41</f>
        <v>16625</v>
      </c>
    </row>
    <row r="44" spans="1:7" ht="12" customHeight="1" x14ac:dyDescent="0.2">
      <c r="A44" s="988"/>
      <c r="B44" s="162"/>
      <c r="C44" s="1002"/>
      <c r="D44" s="1830" t="s">
        <v>494</v>
      </c>
      <c r="E44" s="1831">
        <f>E41</f>
        <v>2213705</v>
      </c>
      <c r="F44" s="1830" t="s">
        <v>494</v>
      </c>
      <c r="G44" s="1831">
        <f>G41</f>
        <v>2211455</v>
      </c>
    </row>
    <row r="45" spans="1:7" ht="12" customHeight="1" x14ac:dyDescent="0.2">
      <c r="A45" s="988"/>
      <c r="B45" s="162"/>
      <c r="C45" s="162"/>
      <c r="D45" s="1832" t="s">
        <v>1063</v>
      </c>
      <c r="E45" s="1833">
        <f>(E43/E44)</f>
        <v>6.4936384929337922E-3</v>
      </c>
      <c r="F45" s="1832" t="s">
        <v>1063</v>
      </c>
      <c r="G45" s="1833">
        <f>(G43/G44)</f>
        <v>7.5176750148657785E-3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D80" sqref="D80"/>
      <selection pane="bottomLeft" activeCell="D80" sqref="D80"/>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0" t="s">
        <v>1446</v>
      </c>
      <c r="B1" s="2320"/>
      <c r="C1" s="2320"/>
      <c r="D1" s="2320"/>
      <c r="E1" s="2320"/>
      <c r="F1" s="2320"/>
    </row>
    <row r="2" spans="1:10" x14ac:dyDescent="0.2">
      <c r="A2" s="1912" t="s">
        <v>2044</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1" t="s">
        <v>1627</v>
      </c>
      <c r="B5" s="2322"/>
      <c r="C5" s="2323"/>
      <c r="D5" s="2323"/>
      <c r="E5" s="2323"/>
      <c r="F5" s="2323"/>
    </row>
    <row r="6" spans="1:10" ht="12" customHeight="1" x14ac:dyDescent="0.25">
      <c r="A6" s="1875"/>
      <c r="B6" s="1876"/>
      <c r="C6" s="2324" t="str">
        <f>COVER!A17</f>
        <v>South Macoupin Association</v>
      </c>
      <c r="D6" s="2324"/>
      <c r="E6" s="2324"/>
      <c r="F6" s="1877"/>
    </row>
    <row r="7" spans="1:10" ht="11.25" customHeight="1" thickBot="1" x14ac:dyDescent="0.3">
      <c r="A7" s="1875"/>
      <c r="B7" s="1876"/>
      <c r="C7" s="2325">
        <f>COVER!A13</f>
        <v>40056801060</v>
      </c>
      <c r="D7" s="2325"/>
      <c r="E7" s="2325"/>
      <c r="F7" s="1877"/>
    </row>
    <row r="8" spans="1:10" ht="25.5" customHeight="1" thickBot="1" x14ac:dyDescent="0.25">
      <c r="A8" s="1918" t="s">
        <v>2021</v>
      </c>
      <c r="B8" s="1878" t="s">
        <v>2098</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8"/>
      <c r="B39" s="1898"/>
      <c r="C39" s="1898"/>
      <c r="D39" s="1898"/>
      <c r="E39" s="1898"/>
      <c r="F39" s="1898"/>
    </row>
    <row r="40" spans="1:11" s="1895" customFormat="1" ht="12" customHeight="1" x14ac:dyDescent="0.25">
      <c r="A40" s="1899" t="s">
        <v>1458</v>
      </c>
      <c r="B40" s="1900"/>
      <c r="C40" s="2315"/>
      <c r="D40" s="2315"/>
      <c r="E40" s="2315"/>
      <c r="F40" s="2316"/>
      <c r="H40" s="1904"/>
      <c r="I40" s="1904"/>
      <c r="J40" s="1904"/>
      <c r="K40" s="1904"/>
    </row>
    <row r="41" spans="1:11" s="1895" customFormat="1" ht="12" customHeight="1" x14ac:dyDescent="0.25">
      <c r="A41" s="2317"/>
      <c r="B41" s="2318"/>
      <c r="C41" s="2318"/>
      <c r="D41" s="2318"/>
      <c r="E41" s="2318"/>
      <c r="F41" s="2319"/>
      <c r="H41" s="1904"/>
      <c r="I41" s="1904"/>
      <c r="J41" s="1904"/>
      <c r="K41" s="1904"/>
    </row>
    <row r="42" spans="1:11" s="1895" customFormat="1" ht="12" customHeight="1" x14ac:dyDescent="0.25">
      <c r="A42" s="2317"/>
      <c r="B42" s="2318"/>
      <c r="C42" s="2318"/>
      <c r="D42" s="2318"/>
      <c r="E42" s="2318"/>
      <c r="F42" s="2319"/>
      <c r="H42" s="1904"/>
      <c r="I42" s="1904"/>
      <c r="J42" s="1904"/>
      <c r="K42" s="1904"/>
    </row>
    <row r="43" spans="1:11" s="1895" customFormat="1" ht="15" x14ac:dyDescent="0.25">
      <c r="A43" s="2306"/>
      <c r="B43" s="2307"/>
      <c r="C43" s="2307"/>
      <c r="D43" s="2307"/>
      <c r="E43" s="2307"/>
      <c r="F43" s="2308"/>
      <c r="H43" s="1904"/>
      <c r="I43" s="1904"/>
      <c r="J43" s="1904"/>
      <c r="K43" s="1904"/>
    </row>
    <row r="44" spans="1:11" s="1895" customFormat="1" ht="12" hidden="1" customHeight="1" x14ac:dyDescent="0.25">
      <c r="A44" s="2306"/>
      <c r="B44" s="2307"/>
      <c r="C44" s="2307"/>
      <c r="D44" s="2307"/>
      <c r="E44" s="2307"/>
      <c r="F44" s="2308"/>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D80" sqref="D8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South Macoupin Association</v>
      </c>
      <c r="J6" s="2334"/>
      <c r="Q6" s="1686"/>
    </row>
    <row r="7" spans="1:17" x14ac:dyDescent="0.2">
      <c r="A7" s="2335" t="s">
        <v>924</v>
      </c>
      <c r="B7" s="2336"/>
      <c r="C7" s="2336"/>
      <c r="D7" s="2336"/>
      <c r="E7" s="2337"/>
      <c r="F7" s="1018"/>
      <c r="G7" s="1010"/>
      <c r="H7" s="1017" t="s">
        <v>390</v>
      </c>
      <c r="I7" s="2338">
        <f>COVER!A13</f>
        <v>40056801060</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0</v>
      </c>
      <c r="F12" s="1040"/>
      <c r="G12" s="1834">
        <f t="shared" ref="G12:G18" si="0">SUM(E12:F12)</f>
        <v>0</v>
      </c>
      <c r="H12" s="1041"/>
      <c r="I12" s="1040"/>
      <c r="J12" s="1834">
        <f t="shared" ref="J12:J18" si="1">SUM(H12:I12)</f>
        <v>0</v>
      </c>
    </row>
    <row r="13" spans="1:17" ht="15" customHeight="1" x14ac:dyDescent="0.2">
      <c r="A13" s="1036">
        <v>2</v>
      </c>
      <c r="B13" s="1037" t="s">
        <v>44</v>
      </c>
      <c r="C13" s="1038"/>
      <c r="D13" s="1039">
        <v>2330</v>
      </c>
      <c r="E13" s="1834">
        <f>'Expenditures 15-22'!K51</f>
        <v>268777</v>
      </c>
      <c r="F13" s="1040"/>
      <c r="G13" s="1834">
        <f t="shared" si="0"/>
        <v>268777</v>
      </c>
      <c r="H13" s="1041">
        <v>342464</v>
      </c>
      <c r="I13" s="1040"/>
      <c r="J13" s="1834">
        <f t="shared" si="1"/>
        <v>342464</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268777</v>
      </c>
      <c r="F19" s="1836">
        <f t="shared" si="2"/>
        <v>0</v>
      </c>
      <c r="G19" s="1836">
        <f t="shared" si="2"/>
        <v>268777</v>
      </c>
      <c r="H19" s="1836">
        <f t="shared" si="2"/>
        <v>342464</v>
      </c>
      <c r="I19" s="1836">
        <f t="shared" si="2"/>
        <v>0</v>
      </c>
      <c r="J19" s="1836">
        <f t="shared" si="2"/>
        <v>342464</v>
      </c>
    </row>
    <row r="20" spans="1:10" ht="13.5" thickTop="1" x14ac:dyDescent="0.2">
      <c r="A20" s="1036">
        <v>9</v>
      </c>
      <c r="B20" s="2345" t="s">
        <v>1703</v>
      </c>
      <c r="C20" s="2345"/>
      <c r="D20" s="2346"/>
      <c r="E20" s="1047"/>
      <c r="F20" s="1047"/>
      <c r="G20" s="1047"/>
      <c r="H20" s="1047"/>
      <c r="I20" s="1047"/>
      <c r="J20" s="1837">
        <f>IF(AND(G19&gt;0,J19&gt;0),(((J19-G19)/G19)),"Enter Budget Data")</f>
        <v>0.27415664286750724</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t="s">
        <v>2098</v>
      </c>
      <c r="C36" s="2332" t="s">
        <v>1941</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D80" sqref="D80"/>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2096</v>
      </c>
    </row>
    <row r="6" spans="1:2" x14ac:dyDescent="0.2">
      <c r="A6" s="1069">
        <v>2</v>
      </c>
      <c r="B6" s="329" t="s">
        <v>2097</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South Macoupin Association</v>
      </c>
    </row>
    <row r="65" spans="2:2" x14ac:dyDescent="0.2">
      <c r="B65" s="1071">
        <f>COVER!A13</f>
        <v>40056801060</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80" sqref="D8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80" sqref="D8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2052</v>
      </c>
      <c r="B4" s="2373"/>
      <c r="C4" s="2373"/>
      <c r="D4" s="2373"/>
      <c r="E4" s="2373"/>
      <c r="F4" s="2374"/>
      <c r="G4" s="1075"/>
      <c r="H4" s="1075"/>
    </row>
    <row r="5" spans="1:8" ht="14.25" customHeight="1" x14ac:dyDescent="0.2">
      <c r="A5" s="2375" t="s">
        <v>2053</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3237606</v>
      </c>
      <c r="C8" s="1838">
        <f>'Acct Summary 7-8'!D8</f>
        <v>0</v>
      </c>
      <c r="D8" s="1838">
        <f>'Acct Summary 7-8'!F8</f>
        <v>0</v>
      </c>
      <c r="E8" s="1838">
        <f>'Acct Summary 7-8'!I8</f>
        <v>0</v>
      </c>
      <c r="F8" s="1838">
        <f>SUM(B8:E8)</f>
        <v>3237606</v>
      </c>
    </row>
    <row r="9" spans="1:8" s="1080" customFormat="1" ht="14.25" customHeight="1" thickBot="1" x14ac:dyDescent="0.25">
      <c r="A9" s="1079" t="s">
        <v>1436</v>
      </c>
      <c r="B9" s="1839">
        <f>'Acct Summary 7-8'!C17</f>
        <v>3227527</v>
      </c>
      <c r="C9" s="1839">
        <f>'Acct Summary 7-8'!D17</f>
        <v>0</v>
      </c>
      <c r="D9" s="1839">
        <f>'Acct Summary 7-8'!F17</f>
        <v>0</v>
      </c>
      <c r="E9" s="1838"/>
      <c r="F9" s="1838">
        <f>SUM(B9:E9)</f>
        <v>3227527</v>
      </c>
    </row>
    <row r="10" spans="1:8" s="1080" customFormat="1" ht="14.25" thickTop="1" thickBot="1" x14ac:dyDescent="0.25">
      <c r="A10" s="1081" t="s">
        <v>1437</v>
      </c>
      <c r="B10" s="1840">
        <f>(B8-B9)</f>
        <v>10079</v>
      </c>
      <c r="C10" s="1840">
        <f>(C8-C9)</f>
        <v>0</v>
      </c>
      <c r="D10" s="1840">
        <f>(D8-D9)</f>
        <v>0</v>
      </c>
      <c r="E10" s="1839">
        <f>(E8-E9)</f>
        <v>0</v>
      </c>
      <c r="F10" s="1841">
        <f>SUM(F8-F9)</f>
        <v>10079</v>
      </c>
    </row>
    <row r="11" spans="1:8" s="1080" customFormat="1" ht="14.25" thickTop="1" thickBot="1" x14ac:dyDescent="0.25">
      <c r="A11" s="1082" t="s">
        <v>1785</v>
      </c>
      <c r="B11" s="1842">
        <f>'Acct Summary 7-8'!C81</f>
        <v>253362</v>
      </c>
      <c r="C11" s="1842">
        <f>'Acct Summary 7-8'!D81</f>
        <v>0</v>
      </c>
      <c r="D11" s="1842">
        <f>'Acct Summary 7-8'!F81</f>
        <v>0</v>
      </c>
      <c r="E11" s="1842">
        <f>'Acct Summary 7-8'!I81</f>
        <v>0</v>
      </c>
      <c r="F11" s="1843">
        <f>SUM(B11:E11)</f>
        <v>253362</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1079</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2050</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40056801060</v>
      </c>
    </row>
    <row r="3" spans="1:2" x14ac:dyDescent="0.2">
      <c r="A3" t="s">
        <v>1013</v>
      </c>
      <c r="B3" s="138" t="str">
        <f>COVER!A15</f>
        <v>MACOUPIN</v>
      </c>
    </row>
    <row r="4" spans="1:2" x14ac:dyDescent="0.2">
      <c r="A4" t="s">
        <v>1064</v>
      </c>
      <c r="B4" s="138" t="str">
        <f>COVER!A17</f>
        <v>South Macoupin Association</v>
      </c>
    </row>
    <row r="5" spans="1:2" x14ac:dyDescent="0.2">
      <c r="A5" t="s">
        <v>728</v>
      </c>
      <c r="B5" s="138" t="str">
        <f>COVER!A38</f>
        <v>ALISON STORM</v>
      </c>
    </row>
    <row r="6" spans="1:2" x14ac:dyDescent="0.2">
      <c r="A6" t="s">
        <v>733</v>
      </c>
      <c r="B6" s="138">
        <f>COVER!P35</f>
        <v>0</v>
      </c>
    </row>
    <row r="7" spans="1:2" x14ac:dyDescent="0.2">
      <c r="A7" t="s">
        <v>729</v>
      </c>
      <c r="B7" s="138">
        <f>COVER!I38</f>
        <v>0</v>
      </c>
    </row>
    <row r="8" spans="1:2" x14ac:dyDescent="0.2">
      <c r="A8" t="s">
        <v>730</v>
      </c>
      <c r="B8" s="138" t="str">
        <f>COVER!T38</f>
        <v>MICHELLE MUELLER</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060-003363</v>
      </c>
    </row>
    <row r="16" spans="1:2" x14ac:dyDescent="0.2">
      <c r="A16" t="s">
        <v>442</v>
      </c>
      <c r="B16" s="138" t="str">
        <f>COVER!T13</f>
        <v>LOY MILLER TALLEY, PC</v>
      </c>
    </row>
    <row r="17" spans="1:2" x14ac:dyDescent="0.2">
      <c r="A17" t="s">
        <v>939</v>
      </c>
      <c r="B17" s="138" t="str">
        <f>COVER!T15</f>
        <v>KENNETH E. LOY, CPA</v>
      </c>
    </row>
    <row r="18" spans="1:2" x14ac:dyDescent="0.2">
      <c r="A18" t="s">
        <v>1212</v>
      </c>
      <c r="B18" s="138" t="str">
        <f>COVER!T17</f>
        <v>#2 CROSSROADS CT.</v>
      </c>
    </row>
    <row r="19" spans="1:2" x14ac:dyDescent="0.2">
      <c r="A19" t="s">
        <v>941</v>
      </c>
      <c r="B19" s="138" t="str">
        <f>COVER!T25</f>
        <v>KEN@LMTCPAS.COM</v>
      </c>
    </row>
    <row r="20" spans="1:2" x14ac:dyDescent="0.2">
      <c r="A20" t="s">
        <v>942</v>
      </c>
      <c r="B20" s="138" t="str">
        <f>COVER!T19</f>
        <v>ALTON</v>
      </c>
    </row>
    <row r="21" spans="1:2" x14ac:dyDescent="0.2">
      <c r="A21" t="s">
        <v>500</v>
      </c>
      <c r="B21" s="138" t="str">
        <f>COVER!X19</f>
        <v>IL</v>
      </c>
    </row>
    <row r="22" spans="1:2" x14ac:dyDescent="0.2">
      <c r="A22" t="s">
        <v>943</v>
      </c>
      <c r="B22" s="138">
        <f>COVER!Z19</f>
        <v>62002</v>
      </c>
    </row>
    <row r="23" spans="1:2" x14ac:dyDescent="0.2">
      <c r="A23" t="s">
        <v>1214</v>
      </c>
      <c r="B23" s="138" t="str">
        <f>COVER!T21</f>
        <v>618-465-1196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253362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253362</v>
      </c>
      <c r="D92" s="2" t="str">
        <f t="shared" si="0"/>
        <v>Error?</v>
      </c>
    </row>
    <row r="93" spans="1:4" x14ac:dyDescent="0.2">
      <c r="A93" s="5">
        <v>32</v>
      </c>
      <c r="B93" s="138">
        <f>'Assets-Liab 5-6'!C41</f>
        <v>253362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158753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158753</v>
      </c>
      <c r="C279" s="2" t="s">
        <v>594</v>
      </c>
      <c r="D279" s="2" t="str">
        <f t="shared" si="3"/>
        <v>Error?</v>
      </c>
    </row>
    <row r="280" spans="1:4" x14ac:dyDescent="0.2">
      <c r="A280" s="5">
        <v>219</v>
      </c>
      <c r="B280" s="138">
        <f>'Assets-Liab 5-6'!M40</f>
        <v>158753</v>
      </c>
      <c r="D280" s="2" t="str">
        <f t="shared" si="3"/>
        <v>Error?</v>
      </c>
    </row>
    <row r="281" spans="1:4" x14ac:dyDescent="0.2">
      <c r="A281" s="5">
        <v>220</v>
      </c>
      <c r="B281" s="138">
        <f>'Assets-Liab 5-6'!M41</f>
        <v>158753</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1444949</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1750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1750</v>
      </c>
      <c r="C731" s="2" t="s">
        <v>594</v>
      </c>
      <c r="D731" s="2" t="str">
        <f t="shared" si="10"/>
        <v>Error?</v>
      </c>
    </row>
    <row r="732" spans="1:4" x14ac:dyDescent="0.2">
      <c r="A732" s="5">
        <v>671</v>
      </c>
      <c r="B732" s="138">
        <f>'Expenditures 15-22'!C49</f>
        <v>39717</v>
      </c>
      <c r="D732" s="2" t="str">
        <f t="shared" si="10"/>
        <v>Error?</v>
      </c>
    </row>
    <row r="733" spans="1:4" x14ac:dyDescent="0.2">
      <c r="A733" s="5">
        <v>672</v>
      </c>
      <c r="B733" s="138">
        <f>'Expenditures 15-22'!C50</f>
        <v>0</v>
      </c>
      <c r="D733" s="2" t="str">
        <f t="shared" si="10"/>
        <v>Error?</v>
      </c>
    </row>
    <row r="734" spans="1:4" x14ac:dyDescent="0.2">
      <c r="A734" s="5">
        <v>673</v>
      </c>
      <c r="B734" s="138">
        <f>'Expenditures 15-22'!C53</f>
        <v>228026</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229776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1674725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323196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10386</v>
      </c>
      <c r="D790" s="2" t="str">
        <f t="shared" si="11"/>
        <v>Error?</v>
      </c>
    </row>
    <row r="791" spans="1:4" x14ac:dyDescent="0.2">
      <c r="A791" s="5">
        <v>730</v>
      </c>
      <c r="B791" s="138">
        <f>'Expenditures 15-22'!D50</f>
        <v>0</v>
      </c>
      <c r="D791" s="2" t="str">
        <f t="shared" si="11"/>
        <v>Error?</v>
      </c>
    </row>
    <row r="792" spans="1:4" x14ac:dyDescent="0.2">
      <c r="A792" s="5">
        <v>731</v>
      </c>
      <c r="B792" s="138">
        <f>'Expenditures 15-22'!D53</f>
        <v>58384</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58384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381580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74301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4225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4225</v>
      </c>
      <c r="C843" s="2" t="s">
        <v>594</v>
      </c>
      <c r="D843" s="2" t="str">
        <f t="shared" si="12"/>
        <v>Error?</v>
      </c>
    </row>
    <row r="844" spans="1:4" x14ac:dyDescent="0.2">
      <c r="A844" s="5">
        <v>783</v>
      </c>
      <c r="B844" s="138">
        <f>'Expenditures 15-22'!E44</f>
        <v>5251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5251</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42055</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2250</v>
      </c>
      <c r="D856" s="2" t="str">
        <f t="shared" si="12"/>
        <v>Error?</v>
      </c>
    </row>
    <row r="857" spans="1:4" x14ac:dyDescent="0.2">
      <c r="A857" s="5">
        <v>796</v>
      </c>
      <c r="B857" s="138">
        <f>'Expenditures 15-22'!E62</f>
        <v>547</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2797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14375</v>
      </c>
      <c r="D867" s="2" t="str">
        <f t="shared" si="12"/>
        <v>Error?</v>
      </c>
    </row>
    <row r="868" spans="1:4" x14ac:dyDescent="0.2">
      <c r="A868" s="10">
        <v>807</v>
      </c>
      <c r="D868" s="2" t="str">
        <f t="shared" si="12"/>
        <v>OK</v>
      </c>
    </row>
    <row r="869" spans="1:4" x14ac:dyDescent="0.2">
      <c r="A869" s="5">
        <v>808</v>
      </c>
      <c r="B869" s="138">
        <f>'Expenditures 15-22'!E72</f>
        <v>14375</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68703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143004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18112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341</v>
      </c>
      <c r="D902" s="2" t="str">
        <f t="shared" si="13"/>
        <v>Error?</v>
      </c>
    </row>
    <row r="903" spans="1:4" x14ac:dyDescent="0.2">
      <c r="A903" s="5">
        <v>842</v>
      </c>
      <c r="B903" s="138">
        <f>'Expenditures 15-22'!F45</f>
        <v>0</v>
      </c>
      <c r="D903" s="2" t="str">
        <f t="shared" si="13"/>
        <v>Error?</v>
      </c>
    </row>
    <row r="904" spans="1:4" x14ac:dyDescent="0.2">
      <c r="A904" s="5">
        <v>843</v>
      </c>
      <c r="B904" s="138">
        <f>'Expenditures 15-22'!F46</f>
        <v>4915</v>
      </c>
      <c r="D904" s="2" t="str">
        <f t="shared" si="13"/>
        <v>Error?</v>
      </c>
    </row>
    <row r="905" spans="1:4" x14ac:dyDescent="0.2">
      <c r="A905" s="5">
        <v>844</v>
      </c>
      <c r="B905" s="138">
        <f>'Expenditures 15-22'!F47</f>
        <v>5256</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3950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9206</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27318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40506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40506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1453</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1453</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1453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958941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960394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1901064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4225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4225</v>
      </c>
      <c r="C1115" s="2" t="s">
        <v>594</v>
      </c>
      <c r="D1115" s="2" t="str">
        <f t="shared" si="16"/>
        <v>Error?</v>
      </c>
    </row>
    <row r="1116" spans="1:4" x14ac:dyDescent="0.2">
      <c r="A1116" s="5">
        <v>1055</v>
      </c>
      <c r="B1116" s="138">
        <f>'Expenditures 15-22'!K44</f>
        <v>8795</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4915</v>
      </c>
      <c r="C1118" s="2" t="s">
        <v>594</v>
      </c>
      <c r="D1118" s="2" t="str">
        <f t="shared" si="16"/>
        <v>Error?</v>
      </c>
    </row>
    <row r="1119" spans="1:4" x14ac:dyDescent="0.2">
      <c r="A1119" s="5">
        <v>1058</v>
      </c>
      <c r="B1119" s="138">
        <f>'Expenditures 15-22'!K47</f>
        <v>13710</v>
      </c>
      <c r="C1119" s="2" t="s">
        <v>594</v>
      </c>
      <c r="D1119" s="2" t="str">
        <f t="shared" si="16"/>
        <v>Error?</v>
      </c>
    </row>
    <row r="1120" spans="1:4" x14ac:dyDescent="0.2">
      <c r="A1120" s="5">
        <v>1059</v>
      </c>
      <c r="B1120" s="138">
        <f>'Expenditures 15-22'!K49</f>
        <v>50103</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332415</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2250</v>
      </c>
      <c r="C1128" s="2" t="s">
        <v>594</v>
      </c>
      <c r="D1128" s="2" t="str">
        <f t="shared" si="16"/>
        <v>Error?</v>
      </c>
    </row>
    <row r="1129" spans="1:4" x14ac:dyDescent="0.2">
      <c r="A1129" s="5">
        <v>1068</v>
      </c>
      <c r="B1129" s="138">
        <f>'Expenditures 15-22'!K62</f>
        <v>547</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2797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14375</v>
      </c>
      <c r="C1139" s="2" t="s">
        <v>594</v>
      </c>
      <c r="D1139" s="2" t="str">
        <f t="shared" si="16"/>
        <v>Error?</v>
      </c>
    </row>
    <row r="1140" spans="1:4" x14ac:dyDescent="0.2">
      <c r="A1140" s="10">
        <v>1079</v>
      </c>
      <c r="D1140" s="2" t="str">
        <f t="shared" si="16"/>
        <v>OK</v>
      </c>
    </row>
    <row r="1141" spans="1:4" x14ac:dyDescent="0.2">
      <c r="A1141" s="5">
        <v>1080</v>
      </c>
      <c r="B1141" s="138">
        <f>'Expenditures 15-22'!K72</f>
        <v>14375</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367522</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958941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3227527</v>
      </c>
      <c r="C1152" s="2" t="s">
        <v>594</v>
      </c>
      <c r="D1152" s="2" t="str">
        <f t="shared" si="17"/>
        <v>Error?</v>
      </c>
    </row>
    <row r="1153" spans="1:4" x14ac:dyDescent="0.2">
      <c r="A1153" s="5">
        <v>1092</v>
      </c>
      <c r="B1153" s="138">
        <f>'Expenditures 15-22'!K115</f>
        <v>10079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243283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253362</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118247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118247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40506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40506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158753</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158753</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76764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76764</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6174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6174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82938</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82938</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75815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75815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958941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958941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1853722</v>
      </c>
      <c r="C2551" s="2" t="s">
        <v>594</v>
      </c>
      <c r="D2551" s="2" t="str">
        <f t="shared" si="38"/>
        <v>Error?</v>
      </c>
    </row>
    <row r="2552" spans="1:4" x14ac:dyDescent="0.2">
      <c r="A2552" s="10">
        <v>2491</v>
      </c>
      <c r="D2552" s="2" t="str">
        <f t="shared" si="38"/>
        <v>OK</v>
      </c>
    </row>
    <row r="2553" spans="1:4" x14ac:dyDescent="0.2">
      <c r="A2553" s="5">
        <v>2492</v>
      </c>
      <c r="B2553" s="138">
        <f>'Acct Summary 7-8'!C6</f>
        <v>380138</v>
      </c>
      <c r="C2553" s="2" t="s">
        <v>594</v>
      </c>
      <c r="D2553" s="2" t="str">
        <f t="shared" si="38"/>
        <v>Error?</v>
      </c>
    </row>
    <row r="2554" spans="1:4" x14ac:dyDescent="0.2">
      <c r="A2554" s="5">
        <v>2493</v>
      </c>
      <c r="B2554" s="138">
        <f>'Acct Summary 7-8'!C7</f>
        <v>1003746</v>
      </c>
      <c r="C2554" s="2" t="s">
        <v>594</v>
      </c>
      <c r="D2554" s="2" t="str">
        <f t="shared" si="38"/>
        <v>Error?</v>
      </c>
    </row>
    <row r="2555" spans="1:4" x14ac:dyDescent="0.2">
      <c r="A2555" s="5">
        <v>2494</v>
      </c>
      <c r="B2555" s="138">
        <f>'Acct Summary 7-8'!C8</f>
        <v>3237606</v>
      </c>
      <c r="C2555" s="2" t="s">
        <v>594</v>
      </c>
      <c r="D2555" s="2" t="str">
        <f t="shared" si="38"/>
        <v>Error?</v>
      </c>
    </row>
    <row r="2556" spans="1:4" x14ac:dyDescent="0.2">
      <c r="A2556" s="5">
        <v>2495</v>
      </c>
      <c r="B2556" s="138">
        <f>'Acct Summary 7-8'!C12</f>
        <v>1901064</v>
      </c>
      <c r="C2556" s="2" t="s">
        <v>594</v>
      </c>
      <c r="D2556" s="2" t="str">
        <f t="shared" si="38"/>
        <v>Error?</v>
      </c>
    </row>
    <row r="2557" spans="1:4" x14ac:dyDescent="0.2">
      <c r="A2557" s="5">
        <v>2496</v>
      </c>
      <c r="B2557" s="138">
        <f>'Acct Summary 7-8'!C13</f>
        <v>367522</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958941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3227527</v>
      </c>
      <c r="C2561" s="2" t="s">
        <v>594</v>
      </c>
      <c r="D2561" s="2" t="str">
        <f t="shared" si="39"/>
        <v>Error?</v>
      </c>
    </row>
    <row r="2562" spans="1:4" x14ac:dyDescent="0.2">
      <c r="A2562" s="5">
        <v>2501</v>
      </c>
      <c r="B2562" s="138">
        <f>'Acct Summary 7-8'!C20</f>
        <v>10079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188309</v>
      </c>
      <c r="D2718" s="2" t="str">
        <f t="shared" si="41"/>
        <v>Error?</v>
      </c>
    </row>
    <row r="2719" spans="1:4" x14ac:dyDescent="0.2">
      <c r="A2719" s="5">
        <v>2658</v>
      </c>
      <c r="B2719" s="138">
        <f>'Expenditures 15-22'!D51</f>
        <v>47998</v>
      </c>
      <c r="D2719" s="2" t="str">
        <f t="shared" si="41"/>
        <v>Error?</v>
      </c>
    </row>
    <row r="2720" spans="1:4" x14ac:dyDescent="0.2">
      <c r="A2720" s="5">
        <v>2659</v>
      </c>
      <c r="B2720" s="138">
        <f>'Expenditures 15-22'!E51</f>
        <v>28520</v>
      </c>
      <c r="D2720" s="2" t="str">
        <f t="shared" si="41"/>
        <v>Error?</v>
      </c>
    </row>
    <row r="2721" spans="1:4" x14ac:dyDescent="0.2">
      <c r="A2721" s="5">
        <v>2660</v>
      </c>
      <c r="B2721" s="138">
        <f>'Expenditures 15-22'!F51</f>
        <v>3950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268777</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958941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958941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10079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1444949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323196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74301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18112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40506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1901064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253362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908932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4146538</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908932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4136459</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253362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10148</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15458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29348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1836532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1836532</v>
      </c>
      <c r="C5087" s="2" t="s">
        <v>594</v>
      </c>
      <c r="D5087" s="2" t="str">
        <f t="shared" si="78"/>
        <v>Error?</v>
      </c>
    </row>
    <row r="5088" spans="1:4" x14ac:dyDescent="0.2">
      <c r="A5088" s="5">
        <v>5027</v>
      </c>
      <c r="B5088" s="138">
        <f>'Revenues 9-14'!C65</f>
        <v>1632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1632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3423</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3423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12135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12135</v>
      </c>
      <c r="C5120" s="2" t="s">
        <v>594</v>
      </c>
      <c r="D5120" s="2" t="str">
        <f t="shared" si="79"/>
        <v>Error?</v>
      </c>
    </row>
    <row r="5121" spans="1:4" x14ac:dyDescent="0.2">
      <c r="A5121" s="5">
        <v>5060</v>
      </c>
      <c r="B5121" s="138">
        <f>'Revenues 9-14'!C109</f>
        <v>1853722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246660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246660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123330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133478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133478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380138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38744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920196</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958940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1003746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1003746</v>
      </c>
      <c r="C5326" s="2" t="s">
        <v>594</v>
      </c>
      <c r="D5326" s="2" t="str">
        <f t="shared" si="82"/>
        <v>Error?</v>
      </c>
    </row>
    <row r="5327" spans="1:4" x14ac:dyDescent="0.2">
      <c r="A5327" s="5">
        <v>5266</v>
      </c>
      <c r="B5327" s="138">
        <f>'Revenues 9-14'!C275</f>
        <v>3237606</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10079</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3.9781024778775036E-2</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13535</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13535</v>
      </c>
      <c r="D6940" s="2" t="str">
        <f t="shared" si="107"/>
        <v>Error?</v>
      </c>
    </row>
    <row r="6941" spans="1:4" x14ac:dyDescent="0.2">
      <c r="A6941">
        <v>6880</v>
      </c>
      <c r="B6941" s="138">
        <f>'Expenditures 15-22'!L52</f>
        <v>12859</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6174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0</v>
      </c>
      <c r="D7797" s="2" t="str">
        <f t="shared" si="127"/>
        <v>Error?</v>
      </c>
      <c r="E7797" s="4" t="s">
        <v>2017</v>
      </c>
    </row>
    <row r="7798" spans="1:5" x14ac:dyDescent="0.2">
      <c r="A7798">
        <v>7737</v>
      </c>
      <c r="B7798" s="138">
        <f>'Contracts Paid in CY 29'!F141</f>
        <v>0</v>
      </c>
      <c r="D7798" s="2" t="str">
        <f t="shared" si="127"/>
        <v>Error?</v>
      </c>
      <c r="E7798" s="4" t="s">
        <v>2017</v>
      </c>
    </row>
    <row r="7799" spans="1:5" x14ac:dyDescent="0.2">
      <c r="A7799">
        <v>7738</v>
      </c>
      <c r="B7799" s="138">
        <f>'Contracts Paid in CY 29'!G141</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J47" sqref="J47"/>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0" t="str">
        <f>COVER!A17</f>
        <v>South Macoupin Association</v>
      </c>
      <c r="B7" s="2401"/>
      <c r="C7" s="2401"/>
      <c r="D7" s="2438"/>
      <c r="E7" s="2439">
        <f>COVER!A13</f>
        <v>40056801060</v>
      </c>
      <c r="F7" s="2440"/>
      <c r="G7" s="2407" t="str">
        <f>COVER!T23</f>
        <v>060-003363</v>
      </c>
      <c r="H7" s="2408"/>
      <c r="I7" s="2408"/>
      <c r="J7" s="2408"/>
      <c r="K7" s="2408"/>
      <c r="L7" s="240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0"/>
      <c r="B9" s="2411"/>
      <c r="C9" s="2411"/>
      <c r="D9" s="2411"/>
      <c r="E9" s="2411"/>
      <c r="F9" s="2412"/>
      <c r="G9" s="2413" t="str">
        <f>COVER!T13</f>
        <v>LOY MILLER TALLEY, PC</v>
      </c>
      <c r="H9" s="2414"/>
      <c r="I9" s="2414"/>
      <c r="J9" s="2414"/>
      <c r="K9" s="2414"/>
      <c r="L9" s="2415"/>
    </row>
    <row r="10" spans="1:29" ht="13.5" customHeight="1" x14ac:dyDescent="0.2">
      <c r="A10" s="2397" t="str">
        <f>COVER!A38</f>
        <v>ALISON STORM</v>
      </c>
      <c r="B10" s="2398"/>
      <c r="C10" s="2398"/>
      <c r="D10" s="2398"/>
      <c r="E10" s="2398"/>
      <c r="F10" s="2399"/>
      <c r="G10" s="2413" t="str">
        <f>COVER!T17</f>
        <v>#2 CROSSROADS CT.</v>
      </c>
      <c r="H10" s="2426"/>
      <c r="I10" s="2426"/>
      <c r="J10" s="2426"/>
      <c r="K10" s="2426"/>
      <c r="L10" s="2427"/>
    </row>
    <row r="11" spans="1:29" ht="13.5" customHeight="1" x14ac:dyDescent="0.2">
      <c r="A11" s="1185" t="s">
        <v>1599</v>
      </c>
      <c r="B11" s="1186"/>
      <c r="C11" s="1187"/>
      <c r="D11" s="1192"/>
      <c r="E11" s="1187"/>
      <c r="F11" s="1191"/>
      <c r="G11" s="2413" t="str">
        <f>COVER!T19</f>
        <v>ALTON</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t="str">
        <f>COVER!T25</f>
        <v>KEN@LMTCPAS.COM</v>
      </c>
      <c r="J13" s="2435"/>
      <c r="K13" s="2435"/>
      <c r="L13" s="2436"/>
    </row>
    <row r="14" spans="1:29" ht="13.5" customHeight="1" x14ac:dyDescent="0.2">
      <c r="A14" s="2413" t="str">
        <f>COVER!A19</f>
        <v>70 N. DENEEN ST.</v>
      </c>
      <c r="B14" s="2426"/>
      <c r="C14" s="2426"/>
      <c r="D14" s="2426"/>
      <c r="E14" s="2426"/>
      <c r="F14" s="2427"/>
      <c r="G14" s="1196" t="s">
        <v>1247</v>
      </c>
      <c r="H14" s="1194"/>
      <c r="I14" s="1194"/>
      <c r="J14" s="1194"/>
      <c r="K14" s="1194"/>
      <c r="L14" s="1195"/>
    </row>
    <row r="15" spans="1:29" ht="13.5" customHeight="1" x14ac:dyDescent="0.2">
      <c r="A15" s="2413" t="str">
        <f>COVER!A21</f>
        <v>STAUNTON</v>
      </c>
      <c r="B15" s="2426"/>
      <c r="C15" s="2426"/>
      <c r="D15" s="2426"/>
      <c r="E15" s="2426"/>
      <c r="F15" s="2427"/>
      <c r="G15" s="2423" t="str">
        <f>COVER!T15</f>
        <v>KENNETH E. LOY, CPA</v>
      </c>
      <c r="H15" s="2424"/>
      <c r="I15" s="2424"/>
      <c r="J15" s="2424"/>
      <c r="K15" s="2424"/>
      <c r="L15" s="2425"/>
    </row>
    <row r="16" spans="1:29" ht="12.2" customHeight="1" x14ac:dyDescent="0.2">
      <c r="A16" s="2403">
        <f>COVER!A25</f>
        <v>62088</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6" t="s">
        <v>1246</v>
      </c>
      <c r="H17" s="1194"/>
      <c r="I17" s="1194"/>
      <c r="J17" s="1194"/>
      <c r="K17" s="1198" t="s">
        <v>1245</v>
      </c>
      <c r="L17" s="1191"/>
      <c r="M17" s="1184"/>
    </row>
    <row r="18" spans="1:13" ht="12.2" customHeight="1" x14ac:dyDescent="0.2">
      <c r="A18" s="2397"/>
      <c r="B18" s="2398"/>
      <c r="C18" s="2398"/>
      <c r="D18" s="2398"/>
      <c r="E18" s="2398"/>
      <c r="F18" s="2399"/>
      <c r="G18" s="2400" t="str">
        <f>COVER!T21</f>
        <v>618-465-1196</v>
      </c>
      <c r="H18" s="2401"/>
      <c r="I18" s="2401"/>
      <c r="J18" s="2401"/>
      <c r="K18" s="2400" t="str">
        <f>COVER!X21</f>
        <v>618-465-2900</v>
      </c>
      <c r="L18" s="240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2075</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2075</v>
      </c>
      <c r="C26" s="1203" t="s">
        <v>1801</v>
      </c>
    </row>
    <row r="27" spans="1:13" s="1199" customFormat="1" ht="9" customHeight="1" x14ac:dyDescent="0.2">
      <c r="B27" s="1204"/>
      <c r="C27" s="1203"/>
    </row>
    <row r="28" spans="1:13" s="1199" customFormat="1" ht="12.2" customHeight="1" x14ac:dyDescent="0.2">
      <c r="A28" s="1206"/>
      <c r="B28" s="1202" t="s">
        <v>2075</v>
      </c>
      <c r="C28" s="1203" t="s">
        <v>1802</v>
      </c>
    </row>
    <row r="29" spans="1:13" s="1199" customFormat="1" ht="9" customHeight="1" x14ac:dyDescent="0.2">
      <c r="A29" s="1206"/>
      <c r="B29" s="1204"/>
      <c r="C29" s="1203"/>
    </row>
    <row r="30" spans="1:13" s="1199" customFormat="1" ht="12.2" customHeight="1" x14ac:dyDescent="0.2">
      <c r="B30" s="1202" t="s">
        <v>2075</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2075</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2075</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2075</v>
      </c>
      <c r="C38" s="1203" t="s">
        <v>1647</v>
      </c>
    </row>
    <row r="39" spans="1:8" ht="9" customHeight="1" x14ac:dyDescent="0.2">
      <c r="B39" s="1204"/>
      <c r="C39" s="1207"/>
    </row>
    <row r="40" spans="1:8" s="1199" customFormat="1" ht="13.5" customHeight="1" x14ac:dyDescent="0.2">
      <c r="B40" s="1202" t="s">
        <v>2075</v>
      </c>
      <c r="C40" s="1203" t="s">
        <v>1648</v>
      </c>
    </row>
    <row r="41" spans="1:8" ht="9" customHeight="1" x14ac:dyDescent="0.2">
      <c r="A41" s="1208"/>
      <c r="B41" s="1204"/>
      <c r="C41" s="1207"/>
    </row>
    <row r="42" spans="1:8" s="1199" customFormat="1" ht="13.5" customHeight="1" x14ac:dyDescent="0.2">
      <c r="B42" s="1202" t="s">
        <v>2075</v>
      </c>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2075</v>
      </c>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South Macoupin Association</v>
      </c>
      <c r="B1" s="2437"/>
      <c r="C1" s="2437"/>
      <c r="D1" s="2437"/>
    </row>
    <row r="2" spans="1:11" s="1215" customFormat="1" ht="12.75" x14ac:dyDescent="0.2">
      <c r="A2" s="2442">
        <f>'Single Audit Cover'!E7</f>
        <v>40056801060</v>
      </c>
      <c r="B2" s="2443"/>
      <c r="C2" s="2443"/>
      <c r="D2" s="2443"/>
    </row>
    <row r="3" spans="1:11" s="1215" customFormat="1" ht="12.75" x14ac:dyDescent="0.2">
      <c r="A3" s="2441" t="s">
        <v>1593</v>
      </c>
      <c r="B3" s="2437"/>
      <c r="C3" s="2437"/>
      <c r="D3" s="243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South Macoupin Association</v>
      </c>
      <c r="B1" s="2445"/>
      <c r="C1" s="2445"/>
      <c r="D1" s="2445"/>
      <c r="E1" s="2445"/>
    </row>
    <row r="2" spans="1:5" x14ac:dyDescent="0.2">
      <c r="A2" s="2446">
        <f>'Single Audit Cover'!E7</f>
        <v>40056801060</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1003746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-29348</v>
      </c>
    </row>
    <row r="19" spans="1:4" ht="13.5" thickBot="1" x14ac:dyDescent="0.25">
      <c r="A19" s="1265" t="s">
        <v>1297</v>
      </c>
      <c r="D19" s="1266">
        <f>SUM(D10:D17)</f>
        <v>974398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974398</v>
      </c>
    </row>
    <row r="33" spans="1:4" x14ac:dyDescent="0.2">
      <c r="D33" s="1269"/>
    </row>
    <row r="34" spans="1:4" x14ac:dyDescent="0.2">
      <c r="A34" s="317" t="s">
        <v>1294</v>
      </c>
    </row>
    <row r="35" spans="1:4" x14ac:dyDescent="0.2">
      <c r="A35" s="317" t="s">
        <v>1293</v>
      </c>
      <c r="B35" s="1258" t="s">
        <v>1292</v>
      </c>
      <c r="D35" s="1270">
        <f>+' SEFA (3)'!F27</f>
        <v>974398</v>
      </c>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974398</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D17" sqref="D17:F1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South Macoupin Association</v>
      </c>
      <c r="B1" s="2450"/>
      <c r="C1" s="2450"/>
      <c r="D1" s="2450"/>
      <c r="E1" s="2450"/>
      <c r="F1" s="2450"/>
    </row>
    <row r="2" spans="1:7" ht="13.5" customHeight="1" x14ac:dyDescent="0.2">
      <c r="A2" s="2451">
        <f>'Single Audit Cover'!E7</f>
        <v>40056801060</v>
      </c>
      <c r="B2" s="2451"/>
      <c r="C2" s="2451"/>
      <c r="D2" s="2451"/>
      <c r="E2" s="2451"/>
      <c r="F2" s="2451"/>
      <c r="G2" s="1275"/>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6" t="s">
        <v>1831</v>
      </c>
      <c r="C6" s="317"/>
      <c r="D6" s="317"/>
    </row>
    <row r="7" spans="1:7" ht="60.95" customHeight="1" x14ac:dyDescent="0.2">
      <c r="A7" s="2449" t="s">
        <v>2128</v>
      </c>
      <c r="B7" s="2449"/>
      <c r="C7" s="2449"/>
      <c r="D7" s="2449"/>
      <c r="E7" s="2449"/>
      <c r="F7" s="2449"/>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2075</v>
      </c>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49" t="s">
        <v>2127</v>
      </c>
      <c r="B13" s="2449"/>
      <c r="C13" s="2449"/>
      <c r="D13" s="2449"/>
      <c r="E13" s="2449"/>
      <c r="F13" s="2449"/>
    </row>
    <row r="14" spans="1:7" ht="9.75" customHeight="1" x14ac:dyDescent="0.2">
      <c r="C14" s="1260"/>
      <c r="D14" s="1260"/>
    </row>
    <row r="15" spans="1:7" ht="13.5" customHeight="1" x14ac:dyDescent="0.2">
      <c r="C15" s="1871" t="s">
        <v>1332</v>
      </c>
      <c r="D15" s="2455" t="s">
        <v>1331</v>
      </c>
      <c r="E15" s="2455"/>
      <c r="F15" s="2455"/>
    </row>
    <row r="16" spans="1:7" ht="13.5" customHeight="1" x14ac:dyDescent="0.2">
      <c r="A16" s="1282"/>
      <c r="B16" s="1276" t="s">
        <v>1330</v>
      </c>
      <c r="C16" s="1871" t="s">
        <v>1329</v>
      </c>
      <c r="D16" s="2456" t="s">
        <v>1670</v>
      </c>
      <c r="E16" s="2456"/>
      <c r="F16" s="2456"/>
    </row>
    <row r="17" spans="1:6" ht="20.45" customHeight="1" x14ac:dyDescent="0.2">
      <c r="A17" s="1283"/>
      <c r="B17" s="1284" t="s">
        <v>2119</v>
      </c>
      <c r="C17" s="1285">
        <v>84.027000000000001</v>
      </c>
      <c r="D17" s="2454">
        <v>331543</v>
      </c>
      <c r="E17" s="2454"/>
      <c r="F17" s="2454"/>
    </row>
    <row r="18" spans="1:6" ht="20.65" customHeight="1" x14ac:dyDescent="0.2">
      <c r="A18" s="1283"/>
      <c r="B18" s="1284" t="s">
        <v>2120</v>
      </c>
      <c r="C18" s="1285">
        <v>84.027000000000001</v>
      </c>
      <c r="D18" s="2454">
        <v>136964</v>
      </c>
      <c r="E18" s="2454"/>
      <c r="F18" s="2454"/>
    </row>
    <row r="19" spans="1:6" ht="20.65" customHeight="1" x14ac:dyDescent="0.2">
      <c r="A19" s="1283"/>
      <c r="B19" s="1284" t="s">
        <v>2121</v>
      </c>
      <c r="C19" s="1285">
        <v>84.027000000000001</v>
      </c>
      <c r="D19" s="2454">
        <v>292804</v>
      </c>
      <c r="E19" s="2454"/>
      <c r="F19" s="2454"/>
    </row>
    <row r="20" spans="1:6" ht="20.65" customHeight="1" x14ac:dyDescent="0.2">
      <c r="A20" s="1283"/>
      <c r="B20" s="1284" t="s">
        <v>2122</v>
      </c>
      <c r="C20" s="1285">
        <v>84.027000000000001</v>
      </c>
      <c r="D20" s="2454">
        <v>158885</v>
      </c>
      <c r="E20" s="2454"/>
      <c r="F20" s="2454"/>
    </row>
    <row r="21" spans="1:6" ht="20.65" customHeight="1" x14ac:dyDescent="0.2">
      <c r="A21" s="1283"/>
      <c r="B21" s="1284" t="s">
        <v>2123</v>
      </c>
      <c r="C21" s="1285">
        <v>84.173000000000002</v>
      </c>
      <c r="D21" s="2454">
        <v>15426</v>
      </c>
      <c r="E21" s="2454"/>
      <c r="F21" s="2454"/>
    </row>
    <row r="22" spans="1:6" ht="20.65" customHeight="1" x14ac:dyDescent="0.2">
      <c r="A22" s="1283"/>
      <c r="B22" s="1284" t="s">
        <v>2124</v>
      </c>
      <c r="C22" s="1285">
        <v>84.173000000000002</v>
      </c>
      <c r="D22" s="2454">
        <v>6002</v>
      </c>
      <c r="E22" s="2454"/>
      <c r="F22" s="2454"/>
    </row>
    <row r="23" spans="1:6" ht="20.65" customHeight="1" x14ac:dyDescent="0.2">
      <c r="A23" s="1283"/>
      <c r="B23" s="1284" t="s">
        <v>2125</v>
      </c>
      <c r="C23" s="1285">
        <v>84.173000000000002</v>
      </c>
      <c r="D23" s="2454">
        <v>6027</v>
      </c>
      <c r="E23" s="2454"/>
      <c r="F23" s="2454"/>
    </row>
    <row r="24" spans="1:6" ht="20.65" customHeight="1" x14ac:dyDescent="0.2">
      <c r="A24" s="1283"/>
      <c r="B24" s="1284" t="s">
        <v>2126</v>
      </c>
      <c r="C24" s="1285">
        <v>84.173000000000002</v>
      </c>
      <c r="D24" s="2454">
        <v>11288</v>
      </c>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8" t="s">
        <v>1833</v>
      </c>
      <c r="B32" s="2458"/>
      <c r="C32" s="2458"/>
      <c r="D32" s="2458"/>
      <c r="E32" s="2458"/>
      <c r="F32" s="2458"/>
    </row>
    <row r="33" spans="1:6" ht="13.5" customHeight="1" x14ac:dyDescent="0.2">
      <c r="A33" s="328" t="s">
        <v>1509</v>
      </c>
      <c r="B33" s="328"/>
      <c r="C33" s="1288">
        <v>0</v>
      </c>
      <c r="D33" s="1928"/>
      <c r="E33" s="1286"/>
    </row>
    <row r="34" spans="1:6" ht="13.5" customHeight="1" x14ac:dyDescent="0.2">
      <c r="A34" s="328" t="s">
        <v>1946</v>
      </c>
      <c r="B34" s="328"/>
      <c r="C34" s="1289">
        <v>0</v>
      </c>
      <c r="D34" s="1928" t="s">
        <v>1671</v>
      </c>
      <c r="E34" s="2459">
        <f>+C33+C34</f>
        <v>0</v>
      </c>
      <c r="F34" s="2460"/>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1" t="s">
        <v>1672</v>
      </c>
      <c r="C49" s="2461"/>
      <c r="D49" s="2461"/>
      <c r="E49" s="1399"/>
    </row>
    <row r="50" spans="1:5" s="1300" customFormat="1" ht="3.75" customHeight="1" x14ac:dyDescent="0.2">
      <c r="A50" s="1299"/>
      <c r="B50" s="1870"/>
      <c r="C50" s="1870"/>
      <c r="D50" s="1870"/>
      <c r="E50" s="1399"/>
    </row>
    <row r="51" spans="1:5" s="1300" customFormat="1" ht="20.25" customHeight="1" x14ac:dyDescent="0.2">
      <c r="A51" s="1301">
        <v>6</v>
      </c>
      <c r="B51" s="2457" t="s">
        <v>1632</v>
      </c>
      <c r="C51" s="2457"/>
      <c r="D51" s="2457"/>
    </row>
    <row r="52" spans="1:5" ht="14.25" customHeight="1" x14ac:dyDescent="0.2">
      <c r="A52" s="1301"/>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workbookViewId="0">
      <selection sqref="A1:XFD1048576"/>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South Macoupin Association</v>
      </c>
      <c r="C1" s="2462"/>
      <c r="D1" s="2462"/>
      <c r="E1" s="2462"/>
      <c r="F1" s="2462"/>
      <c r="G1" s="2462"/>
      <c r="H1" s="2462"/>
      <c r="I1" s="2462"/>
      <c r="J1" s="2462"/>
      <c r="K1" s="2462"/>
      <c r="L1" s="2462"/>
      <c r="M1" s="2462"/>
    </row>
    <row r="2" spans="2:14" ht="15" x14ac:dyDescent="0.2">
      <c r="B2" s="2451">
        <f>'Single Audit Cover'!E7</f>
        <v>40056801060</v>
      </c>
      <c r="C2" s="2451"/>
      <c r="D2" s="2451"/>
      <c r="E2" s="2451"/>
      <c r="F2" s="2451"/>
      <c r="G2" s="2451"/>
      <c r="H2" s="2451"/>
      <c r="I2" s="2451"/>
      <c r="J2" s="2451"/>
      <c r="K2" s="2451"/>
      <c r="L2" s="2451"/>
      <c r="M2" s="2451"/>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1836</v>
      </c>
      <c r="D9" s="1314" t="s">
        <v>1837</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2099</v>
      </c>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t="s">
        <v>2100</v>
      </c>
      <c r="C13" s="1341"/>
      <c r="D13" s="1342"/>
      <c r="E13" s="1343"/>
      <c r="F13" s="1343"/>
      <c r="G13" s="1343"/>
      <c r="H13" s="1343"/>
      <c r="I13" s="1343"/>
      <c r="J13" s="1343"/>
      <c r="K13" s="1343"/>
      <c r="L13" s="1340">
        <f t="shared" si="0"/>
        <v>0</v>
      </c>
      <c r="M13" s="1343"/>
    </row>
    <row r="14" spans="2:14" ht="20.100000000000001" customHeight="1" x14ac:dyDescent="0.2">
      <c r="B14" s="1337" t="s">
        <v>2101</v>
      </c>
      <c r="C14" s="1341">
        <v>84.027000000000001</v>
      </c>
      <c r="D14" s="1342" t="s">
        <v>2105</v>
      </c>
      <c r="E14" s="1343"/>
      <c r="F14" s="1343">
        <v>716563</v>
      </c>
      <c r="G14" s="1343"/>
      <c r="H14" s="1343"/>
      <c r="I14" s="1343">
        <v>716563</v>
      </c>
      <c r="J14" s="1343">
        <v>716563</v>
      </c>
      <c r="K14" s="1343">
        <v>263634</v>
      </c>
      <c r="L14" s="1340">
        <f t="shared" si="0"/>
        <v>980197</v>
      </c>
      <c r="M14" s="1343">
        <v>995806</v>
      </c>
    </row>
    <row r="15" spans="2:14" ht="20.100000000000001" customHeight="1" x14ac:dyDescent="0.2">
      <c r="B15" s="1337" t="s">
        <v>2102</v>
      </c>
      <c r="C15" s="1341">
        <v>84.027000000000001</v>
      </c>
      <c r="D15" s="1342" t="s">
        <v>2106</v>
      </c>
      <c r="E15" s="1343">
        <v>682454</v>
      </c>
      <c r="F15" s="1343">
        <v>203633</v>
      </c>
      <c r="G15" s="1343">
        <v>696000</v>
      </c>
      <c r="H15" s="1343">
        <v>696000</v>
      </c>
      <c r="I15" s="1343">
        <v>203633</v>
      </c>
      <c r="J15" s="1343">
        <v>203633</v>
      </c>
      <c r="K15" s="1343"/>
      <c r="L15" s="1340">
        <f t="shared" si="0"/>
        <v>899633</v>
      </c>
      <c r="M15" s="1343">
        <v>937926</v>
      </c>
    </row>
    <row r="16" spans="2:14" ht="20.100000000000001" customHeight="1" x14ac:dyDescent="0.2">
      <c r="B16" s="1337" t="s">
        <v>2103</v>
      </c>
      <c r="C16" s="1341">
        <v>84.173000000000002</v>
      </c>
      <c r="D16" s="1342" t="s">
        <v>2107</v>
      </c>
      <c r="E16" s="1343"/>
      <c r="F16" s="1343">
        <v>29407</v>
      </c>
      <c r="G16" s="1343"/>
      <c r="H16" s="1343"/>
      <c r="I16" s="1343">
        <v>29406</v>
      </c>
      <c r="J16" s="1343">
        <v>29406</v>
      </c>
      <c r="K16" s="1343">
        <v>10228</v>
      </c>
      <c r="L16" s="1340">
        <f t="shared" si="0"/>
        <v>39634</v>
      </c>
      <c r="M16" s="1343">
        <v>39634</v>
      </c>
    </row>
    <row r="17" spans="2:14" ht="20.100000000000001" customHeight="1" x14ac:dyDescent="0.2">
      <c r="B17" s="1337" t="s">
        <v>2104</v>
      </c>
      <c r="C17" s="1341">
        <v>84.173000000000002</v>
      </c>
      <c r="D17" s="1342" t="s">
        <v>2108</v>
      </c>
      <c r="E17" s="1343">
        <v>26095</v>
      </c>
      <c r="F17" s="1343">
        <v>9337</v>
      </c>
      <c r="G17" s="1343">
        <v>26095</v>
      </c>
      <c r="H17" s="1343">
        <v>26095</v>
      </c>
      <c r="I17" s="1343">
        <v>9337</v>
      </c>
      <c r="J17" s="1343">
        <v>9337</v>
      </c>
      <c r="K17" s="1343"/>
      <c r="L17" s="1340">
        <f t="shared" si="0"/>
        <v>35432</v>
      </c>
      <c r="M17" s="1343">
        <v>35443</v>
      </c>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2113</v>
      </c>
      <c r="C27" s="1341"/>
      <c r="D27" s="1342"/>
      <c r="E27" s="1343">
        <f>SUM(E11:E26)</f>
        <v>708549</v>
      </c>
      <c r="F27" s="1343">
        <f t="shared" ref="F27:K27" si="1">SUM(F11:F26)</f>
        <v>958940</v>
      </c>
      <c r="G27" s="1343">
        <f t="shared" si="1"/>
        <v>722095</v>
      </c>
      <c r="H27" s="1343">
        <f t="shared" si="1"/>
        <v>722095</v>
      </c>
      <c r="I27" s="1343">
        <f t="shared" si="1"/>
        <v>958939</v>
      </c>
      <c r="J27" s="1343">
        <f t="shared" si="1"/>
        <v>958939</v>
      </c>
      <c r="K27" s="1343">
        <f t="shared" si="1"/>
        <v>273862</v>
      </c>
      <c r="L27" s="1340">
        <f t="shared" si="0"/>
        <v>1954896</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4" sqref="B4:M4"/>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South Macoupin Association</v>
      </c>
      <c r="C1" s="2462"/>
      <c r="D1" s="2462"/>
      <c r="E1" s="2462"/>
      <c r="F1" s="2462"/>
      <c r="G1" s="2462"/>
      <c r="H1" s="2462"/>
      <c r="I1" s="2462"/>
      <c r="J1" s="2462"/>
      <c r="K1" s="2462"/>
      <c r="L1" s="2462"/>
      <c r="M1" s="2462"/>
    </row>
    <row r="2" spans="2:14" ht="15" x14ac:dyDescent="0.2">
      <c r="B2" s="2451">
        <f>'Single Audit Cover'!E7</f>
        <v>40056801060</v>
      </c>
      <c r="C2" s="2451"/>
      <c r="D2" s="2451"/>
      <c r="E2" s="2451"/>
      <c r="F2" s="2451"/>
      <c r="G2" s="2451"/>
      <c r="H2" s="2451"/>
      <c r="I2" s="2451"/>
      <c r="J2" s="2451"/>
      <c r="K2" s="2451"/>
      <c r="L2" s="2451"/>
      <c r="M2" s="2451"/>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1836</v>
      </c>
      <c r="D9" s="1314" t="s">
        <v>1837</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2109</v>
      </c>
      <c r="C11" s="1338"/>
      <c r="D11" s="1339"/>
      <c r="E11" s="1340"/>
      <c r="F11" s="1340"/>
      <c r="G11" s="1340"/>
      <c r="H11" s="1340"/>
      <c r="I11" s="1340"/>
      <c r="J11" s="1340"/>
      <c r="K11" s="1340"/>
      <c r="L11" s="1340">
        <f>+G11+I11+K11</f>
        <v>0</v>
      </c>
      <c r="M11" s="1340"/>
    </row>
    <row r="12" spans="2:14" ht="20.100000000000001" customHeight="1" x14ac:dyDescent="0.2">
      <c r="B12" s="1337" t="s">
        <v>2110</v>
      </c>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t="s">
        <v>2111</v>
      </c>
      <c r="C14" s="1341">
        <v>93.778000000000006</v>
      </c>
      <c r="D14" s="1342" t="s">
        <v>2114</v>
      </c>
      <c r="E14" s="1343"/>
      <c r="F14" s="1343">
        <v>15458</v>
      </c>
      <c r="G14" s="1343"/>
      <c r="H14" s="1343"/>
      <c r="I14" s="1343">
        <v>15458</v>
      </c>
      <c r="J14" s="1343"/>
      <c r="K14" s="1343"/>
      <c r="L14" s="1340">
        <f t="shared" si="0"/>
        <v>15458</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2112</v>
      </c>
      <c r="C27" s="1341"/>
      <c r="D27" s="1342"/>
      <c r="E27" s="1343">
        <f>SUM(E11:E26)</f>
        <v>0</v>
      </c>
      <c r="F27" s="1343">
        <f t="shared" ref="F27:K27" si="1">SUM(F11:F26)</f>
        <v>15458</v>
      </c>
      <c r="G27" s="1343">
        <f t="shared" si="1"/>
        <v>0</v>
      </c>
      <c r="H27" s="1343">
        <f t="shared" si="1"/>
        <v>0</v>
      </c>
      <c r="I27" s="1343">
        <f t="shared" si="1"/>
        <v>15458</v>
      </c>
      <c r="J27" s="1343">
        <f t="shared" si="1"/>
        <v>0</v>
      </c>
      <c r="K27" s="1343">
        <f t="shared" si="1"/>
        <v>0</v>
      </c>
      <c r="L27" s="1340">
        <f t="shared" si="0"/>
        <v>15458</v>
      </c>
      <c r="M27" s="1343">
        <f>SUM(M11:M26)</f>
        <v>0</v>
      </c>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sqref="A1:XFD1048576"/>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South Macoupin Association</v>
      </c>
      <c r="C1" s="2462"/>
      <c r="D1" s="2462"/>
      <c r="E1" s="2462"/>
      <c r="F1" s="2462"/>
      <c r="G1" s="2462"/>
      <c r="H1" s="2462"/>
      <c r="I1" s="2462"/>
      <c r="J1" s="2462"/>
      <c r="K1" s="2462"/>
      <c r="L1" s="2462"/>
      <c r="M1" s="2462"/>
    </row>
    <row r="2" spans="2:14" ht="15" x14ac:dyDescent="0.2">
      <c r="B2" s="2451">
        <f>'Single Audit Cover'!E7</f>
        <v>40056801060</v>
      </c>
      <c r="C2" s="2451"/>
      <c r="D2" s="2451"/>
      <c r="E2" s="2451"/>
      <c r="F2" s="2451"/>
      <c r="G2" s="2451"/>
      <c r="H2" s="2451"/>
      <c r="I2" s="2451"/>
      <c r="J2" s="2451"/>
      <c r="K2" s="2451"/>
      <c r="L2" s="2451"/>
      <c r="M2" s="2451"/>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1836</v>
      </c>
      <c r="D9" s="1314" t="s">
        <v>1837</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2115</v>
      </c>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t="s">
        <v>2118</v>
      </c>
      <c r="C14" s="1341"/>
      <c r="D14" s="1342"/>
      <c r="E14" s="1343">
        <f>+' SEFA'!E27</f>
        <v>708549</v>
      </c>
      <c r="F14" s="1343">
        <f>+' SEFA'!F27</f>
        <v>958940</v>
      </c>
      <c r="G14" s="1343">
        <f>+' SEFA'!G27</f>
        <v>722095</v>
      </c>
      <c r="H14" s="1343">
        <f>+' SEFA'!H27</f>
        <v>722095</v>
      </c>
      <c r="I14" s="1343">
        <f>+' SEFA'!I27</f>
        <v>958939</v>
      </c>
      <c r="J14" s="1343">
        <f>+' SEFA'!J27</f>
        <v>958939</v>
      </c>
      <c r="K14" s="1343">
        <f>+' SEFA'!K27</f>
        <v>273862</v>
      </c>
      <c r="L14" s="1340">
        <f t="shared" si="0"/>
        <v>1954896</v>
      </c>
      <c r="M14" s="1343">
        <f>+' SEFA'!M27</f>
        <v>0</v>
      </c>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t="s">
        <v>2116</v>
      </c>
      <c r="C16" s="1341"/>
      <c r="D16" s="1342"/>
      <c r="E16" s="1343">
        <f>+' SEFA (2)'!E27</f>
        <v>0</v>
      </c>
      <c r="F16" s="1343">
        <f>+' SEFA (2)'!F27</f>
        <v>15458</v>
      </c>
      <c r="G16" s="1343">
        <f>+' SEFA (2)'!G27</f>
        <v>0</v>
      </c>
      <c r="H16" s="1343">
        <f>+' SEFA (2)'!H27</f>
        <v>0</v>
      </c>
      <c r="I16" s="1343">
        <f>+' SEFA (2)'!I27</f>
        <v>15458</v>
      </c>
      <c r="J16" s="1343">
        <f>+' SEFA (2)'!J27</f>
        <v>0</v>
      </c>
      <c r="K16" s="1343">
        <f>+' SEFA (2)'!K27</f>
        <v>0</v>
      </c>
      <c r="L16" s="1340">
        <f t="shared" si="0"/>
        <v>15458</v>
      </c>
      <c r="M16" s="1343">
        <f>+' SEFA (2)'!M27</f>
        <v>0</v>
      </c>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2117</v>
      </c>
      <c r="C27" s="1341"/>
      <c r="D27" s="1342"/>
      <c r="E27" s="1343">
        <f>SUM(E11:E26)</f>
        <v>708549</v>
      </c>
      <c r="F27" s="1343">
        <f t="shared" ref="F27:K27" si="1">SUM(F11:F26)</f>
        <v>974398</v>
      </c>
      <c r="G27" s="1343">
        <f t="shared" si="1"/>
        <v>722095</v>
      </c>
      <c r="H27" s="1343">
        <f t="shared" si="1"/>
        <v>722095</v>
      </c>
      <c r="I27" s="1343">
        <f t="shared" si="1"/>
        <v>974397</v>
      </c>
      <c r="J27" s="1343">
        <f t="shared" si="1"/>
        <v>958939</v>
      </c>
      <c r="K27" s="1343">
        <f t="shared" si="1"/>
        <v>273862</v>
      </c>
      <c r="L27" s="1340">
        <f t="shared" si="0"/>
        <v>1970354</v>
      </c>
      <c r="M27" s="1343">
        <f>SUM(M11:M26)</f>
        <v>0</v>
      </c>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 zoomScale="110" zoomScaleNormal="110" workbookViewId="0">
      <selection activeCell="G52" sqref="G5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South Macoupin Association</v>
      </c>
      <c r="C1" s="2470"/>
      <c r="D1" s="2470"/>
      <c r="E1" s="2470"/>
      <c r="F1" s="2470"/>
      <c r="G1" s="2470"/>
      <c r="H1" s="2470"/>
      <c r="I1" s="2470"/>
      <c r="J1" s="1422"/>
    </row>
    <row r="2" spans="2:10" s="317" customFormat="1" ht="12.75" customHeight="1" x14ac:dyDescent="0.2">
      <c r="B2" s="2471">
        <f>'Single Audit Cover'!E7</f>
        <v>40056801060</v>
      </c>
      <c r="C2" s="2472"/>
      <c r="D2" s="2472"/>
      <c r="E2" s="2472"/>
      <c r="F2" s="2472"/>
      <c r="G2" s="2472"/>
      <c r="H2" s="2472"/>
      <c r="I2" s="2472"/>
      <c r="J2" s="1422"/>
    </row>
    <row r="3" spans="2:10" s="317" customFormat="1" ht="12.75" customHeight="1" x14ac:dyDescent="0.2">
      <c r="B3" s="2473" t="s">
        <v>1347</v>
      </c>
      <c r="C3" s="2474"/>
      <c r="D3" s="2474"/>
      <c r="E3" s="2474"/>
      <c r="F3" s="2474"/>
      <c r="G3" s="2474"/>
      <c r="H3" s="2474"/>
      <c r="I3" s="2474"/>
      <c r="J3" s="1423"/>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3" t="s">
        <v>1346</v>
      </c>
      <c r="C7" s="2474"/>
      <c r="D7" s="2474"/>
      <c r="E7" s="2474"/>
      <c r="F7" s="2474"/>
      <c r="G7" s="2474"/>
      <c r="H7" s="2474"/>
      <c r="I7" s="247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5" t="s">
        <v>2129</v>
      </c>
      <c r="D11" s="247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2075</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2075</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2075</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2075</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2075</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6" t="s">
        <v>2130</v>
      </c>
      <c r="E29" s="2476"/>
      <c r="F29" s="2476"/>
      <c r="G29" s="2476"/>
      <c r="H29" s="2476"/>
      <c r="I29" s="2476"/>
    </row>
    <row r="30" spans="2:9" s="317" customFormat="1" x14ac:dyDescent="0.2">
      <c r="B30" s="1368"/>
      <c r="C30" s="322"/>
      <c r="D30" s="1433" t="s">
        <v>1849</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2075</v>
      </c>
      <c r="H33" s="1300" t="s">
        <v>101</v>
      </c>
    </row>
    <row r="35" spans="2:9" x14ac:dyDescent="0.2">
      <c r="B35" s="1441" t="s">
        <v>1850</v>
      </c>
      <c r="C35" s="1442"/>
      <c r="D35" s="1267"/>
    </row>
    <row r="36" spans="2:9" ht="6" customHeight="1" x14ac:dyDescent="0.2">
      <c r="B36" s="1441"/>
      <c r="C36" s="1442"/>
      <c r="D36" s="1267"/>
    </row>
    <row r="37" spans="2:9" ht="17.25" customHeight="1" x14ac:dyDescent="0.2">
      <c r="B37" s="1443" t="s">
        <v>1851</v>
      </c>
      <c r="C37" s="2477" t="s">
        <v>1852</v>
      </c>
      <c r="D37" s="2478"/>
      <c r="E37" s="2478"/>
      <c r="F37" s="2479"/>
      <c r="G37" s="2477" t="s">
        <v>1674</v>
      </c>
      <c r="H37" s="2478"/>
      <c r="I37" s="2479"/>
    </row>
    <row r="38" spans="2:9" ht="16.5" customHeight="1" x14ac:dyDescent="0.2">
      <c r="B38" s="1444">
        <v>84.027000000000001</v>
      </c>
      <c r="C38" s="2465" t="s">
        <v>2131</v>
      </c>
      <c r="D38" s="2466"/>
      <c r="E38" s="2466"/>
      <c r="F38" s="2467"/>
      <c r="G38" s="2480">
        <v>920196</v>
      </c>
      <c r="H38" s="2481"/>
      <c r="I38" s="2482"/>
    </row>
    <row r="39" spans="2:9" ht="16.5" customHeight="1" x14ac:dyDescent="0.2">
      <c r="B39" s="1444">
        <v>84.173000000000002</v>
      </c>
      <c r="C39" s="2465" t="s">
        <v>2132</v>
      </c>
      <c r="D39" s="2466"/>
      <c r="E39" s="2466"/>
      <c r="F39" s="2467"/>
      <c r="G39" s="2468">
        <v>38743</v>
      </c>
      <c r="H39" s="2468"/>
      <c r="I39" s="2468"/>
    </row>
    <row r="40" spans="2:9" ht="16.5" customHeight="1" x14ac:dyDescent="0.2">
      <c r="B40" s="1444"/>
      <c r="C40" s="2465"/>
      <c r="D40" s="2466"/>
      <c r="E40" s="2466"/>
      <c r="F40" s="2467"/>
      <c r="G40" s="2468"/>
      <c r="H40" s="2468"/>
      <c r="I40" s="2468"/>
    </row>
    <row r="41" spans="2:9" ht="16.5" customHeight="1" x14ac:dyDescent="0.2">
      <c r="B41" s="1444"/>
      <c r="C41" s="2465"/>
      <c r="D41" s="2466"/>
      <c r="E41" s="2466"/>
      <c r="F41" s="2467"/>
      <c r="G41" s="2468"/>
      <c r="H41" s="2468"/>
      <c r="I41" s="2468"/>
    </row>
    <row r="42" spans="2:9" ht="16.5" customHeight="1" x14ac:dyDescent="0.2">
      <c r="B42" s="1444"/>
      <c r="C42" s="2465"/>
      <c r="D42" s="2466"/>
      <c r="E42" s="2466"/>
      <c r="F42" s="2467"/>
      <c r="G42" s="2468"/>
      <c r="H42" s="2468"/>
      <c r="I42" s="2468"/>
    </row>
    <row r="43" spans="2:9" ht="16.5" customHeight="1" x14ac:dyDescent="0.2">
      <c r="B43" s="1444"/>
      <c r="C43" s="2483" t="s">
        <v>1675</v>
      </c>
      <c r="D43" s="2484"/>
      <c r="E43" s="2484"/>
      <c r="F43" s="2485"/>
      <c r="G43" s="2486">
        <f>SUM(G38:I42)</f>
        <v>958939</v>
      </c>
      <c r="H43" s="2486"/>
      <c r="I43" s="2486"/>
    </row>
    <row r="44" spans="2:9" ht="12.75" customHeight="1" x14ac:dyDescent="0.2"/>
    <row r="45" spans="2:9" ht="12.75" customHeight="1" x14ac:dyDescent="0.2">
      <c r="B45" s="1435" t="s">
        <v>1949</v>
      </c>
      <c r="D45" s="2487">
        <v>974939</v>
      </c>
      <c r="E45" s="2488"/>
    </row>
    <row r="46" spans="2:9" ht="5.25" customHeight="1" x14ac:dyDescent="0.2">
      <c r="B46" s="1445"/>
      <c r="D46" s="1446"/>
      <c r="E46" s="1447"/>
    </row>
    <row r="47" spans="2:9" ht="12.75" customHeight="1" x14ac:dyDescent="0.2">
      <c r="B47" s="1300" t="s">
        <v>1676</v>
      </c>
      <c r="C47" s="1300"/>
      <c r="D47" s="1448">
        <f>+G43/D45</f>
        <v>0.98358871683254034</v>
      </c>
      <c r="E47" s="1449"/>
      <c r="F47" s="1450"/>
      <c r="I47" s="1451"/>
    </row>
    <row r="48" spans="2:9" ht="9.9499999999999993" customHeight="1" x14ac:dyDescent="0.2"/>
    <row r="49" spans="1:9" x14ac:dyDescent="0.2">
      <c r="B49" s="1368" t="s">
        <v>1335</v>
      </c>
      <c r="C49" s="1282"/>
      <c r="D49" s="1282"/>
      <c r="E49" s="2489">
        <v>750000</v>
      </c>
      <c r="F49" s="2489"/>
      <c r="G49" s="2489"/>
      <c r="H49" s="322"/>
    </row>
    <row r="51" spans="1:9" ht="13.5" customHeight="1" x14ac:dyDescent="0.2">
      <c r="B51" s="1368" t="s">
        <v>1334</v>
      </c>
      <c r="C51" s="1282"/>
      <c r="E51" s="1438"/>
      <c r="F51" s="1300" t="s">
        <v>940</v>
      </c>
      <c r="G51" s="1438" t="s">
        <v>2075</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1853</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1854</v>
      </c>
      <c r="C58" s="1464"/>
      <c r="D58" s="1464"/>
    </row>
    <row r="59" spans="1:9" s="1461" customFormat="1" ht="3.95" customHeight="1" x14ac:dyDescent="0.2">
      <c r="A59" s="1458"/>
      <c r="B59" s="1463"/>
      <c r="C59" s="1464"/>
      <c r="D59" s="1464"/>
    </row>
    <row r="60" spans="1:9" s="1461" customFormat="1" ht="13.5" customHeight="1" x14ac:dyDescent="0.2">
      <c r="A60" s="1458"/>
      <c r="B60" s="1463" t="s">
        <v>1855</v>
      </c>
      <c r="C60" s="1464"/>
      <c r="D60" s="1464"/>
    </row>
    <row r="61" spans="1:9" s="1461" customFormat="1" ht="3.95" customHeight="1" x14ac:dyDescent="0.2">
      <c r="A61" s="1458"/>
      <c r="B61" s="1463"/>
      <c r="C61" s="1464"/>
      <c r="D61" s="1464"/>
    </row>
    <row r="62" spans="1:9" s="1461" customFormat="1" ht="12.75" customHeight="1" x14ac:dyDescent="0.2">
      <c r="A62" s="1458"/>
      <c r="B62" s="1463" t="s">
        <v>1856</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5" sqref="B1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South Macoupin Association</v>
      </c>
      <c r="C1" s="2469"/>
      <c r="D1" s="2469"/>
      <c r="E1" s="2469"/>
      <c r="F1" s="2469"/>
      <c r="G1" s="2469"/>
      <c r="H1" s="2469"/>
      <c r="I1" s="2469"/>
      <c r="J1" s="2469"/>
      <c r="K1" s="2469"/>
      <c r="L1" s="1374"/>
      <c r="M1" s="1374"/>
    </row>
    <row r="2" spans="1:13" ht="12" customHeight="1" x14ac:dyDescent="0.2">
      <c r="B2" s="2471">
        <f>'Single Audit Cover'!E7</f>
        <v>40056801060</v>
      </c>
      <c r="C2" s="2471"/>
      <c r="D2" s="2471"/>
      <c r="E2" s="2471"/>
      <c r="F2" s="2471"/>
      <c r="G2" s="2471"/>
      <c r="H2" s="2471"/>
      <c r="I2" s="2471"/>
      <c r="J2" s="2471"/>
      <c r="K2" s="2471"/>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1843</v>
      </c>
      <c r="C10" s="1385" t="s">
        <v>1950</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t="s">
        <v>2133</v>
      </c>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1844</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1845</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1846</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1847</v>
      </c>
      <c r="C38" s="1420"/>
    </row>
    <row r="39" spans="1:13" ht="9.6" customHeight="1" x14ac:dyDescent="0.2">
      <c r="B39" s="1300" t="s">
        <v>1348</v>
      </c>
      <c r="C39" s="1300"/>
      <c r="M39" s="1421"/>
    </row>
    <row r="40" spans="1:13" ht="12.6" customHeight="1" x14ac:dyDescent="0.2">
      <c r="B40" s="1420" t="s">
        <v>1848</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South Macoupin Association</v>
      </c>
      <c r="C1" s="2496"/>
      <c r="D1" s="2496"/>
      <c r="E1" s="2496"/>
      <c r="F1" s="2496"/>
      <c r="G1" s="2496"/>
      <c r="H1" s="2496"/>
      <c r="I1" s="2496"/>
      <c r="J1" s="2496"/>
      <c r="K1" s="2496"/>
      <c r="L1" s="1465"/>
    </row>
    <row r="2" spans="1:12" ht="12.75" customHeight="1" x14ac:dyDescent="0.2">
      <c r="B2" s="2497">
        <f>'Single Audit Cover'!E7</f>
        <v>40056801060</v>
      </c>
      <c r="C2" s="2497"/>
      <c r="D2" s="2497"/>
      <c r="E2" s="2497"/>
      <c r="F2" s="2497"/>
      <c r="G2" s="2497"/>
      <c r="H2" s="2497"/>
      <c r="I2" s="2497"/>
      <c r="J2" s="2497"/>
      <c r="K2" s="2497"/>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9"/>
      <c r="C7" s="1379"/>
      <c r="D7" s="1379"/>
      <c r="E7" s="1379"/>
      <c r="F7" s="1379"/>
      <c r="G7" s="1380"/>
      <c r="H7" s="1379"/>
      <c r="I7" s="1380"/>
      <c r="J7" s="1379"/>
      <c r="K7" s="1379"/>
      <c r="L7" s="322"/>
    </row>
    <row r="8" spans="1:12" ht="13.5" customHeight="1" x14ac:dyDescent="0.2">
      <c r="B8" s="1387" t="s">
        <v>1857</v>
      </c>
      <c r="C8" s="1467" t="s">
        <v>1950</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6"/>
      <c r="G12" s="2476"/>
      <c r="H12" s="2476"/>
      <c r="I12" s="2476"/>
      <c r="J12" s="2476"/>
      <c r="K12" s="247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t="s">
        <v>2133</v>
      </c>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1858</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1859</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1860</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1861</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1862</v>
      </c>
      <c r="C48" s="1419"/>
      <c r="D48" s="322"/>
      <c r="E48" s="322"/>
      <c r="F48" s="322"/>
    </row>
    <row r="49" spans="2:3" s="317" customFormat="1" ht="10.5" customHeight="1" x14ac:dyDescent="0.2">
      <c r="B49" s="1420" t="s">
        <v>1863</v>
      </c>
      <c r="C49" s="1420"/>
    </row>
    <row r="50" spans="2:3" s="317" customFormat="1" ht="11.1" customHeight="1" x14ac:dyDescent="0.2">
      <c r="B50" s="1420" t="s">
        <v>1864</v>
      </c>
      <c r="C50" s="1420"/>
    </row>
    <row r="51" spans="2:3" s="317" customFormat="1" ht="11.1" customHeight="1" x14ac:dyDescent="0.2">
      <c r="B51" s="1420" t="s">
        <v>1865</v>
      </c>
      <c r="C51" s="1420"/>
    </row>
    <row r="52" spans="2:3" s="317" customFormat="1" ht="11.1" customHeight="1" x14ac:dyDescent="0.2">
      <c r="B52" s="1420" t="s">
        <v>1866</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H32" sqref="H3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9" t="str">
        <f>'Single Audit Cover'!A7</f>
        <v>South Macoupin Association</v>
      </c>
      <c r="C1" s="2469"/>
      <c r="D1" s="2469"/>
      <c r="E1" s="1491"/>
    </row>
    <row r="2" spans="2:5" s="1282" customFormat="1" ht="12.75" customHeight="1" x14ac:dyDescent="0.2">
      <c r="B2" s="2471">
        <f>'Single Audit Cover'!E7</f>
        <v>40056801060</v>
      </c>
      <c r="C2" s="2471"/>
      <c r="D2" s="2471"/>
      <c r="E2" s="1492"/>
    </row>
    <row r="3" spans="2:5" ht="12.75" customHeight="1" x14ac:dyDescent="0.2">
      <c r="B3" s="2492" t="s">
        <v>1867</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1868</v>
      </c>
      <c r="C5" s="328"/>
      <c r="D5" s="328"/>
      <c r="E5" s="328"/>
    </row>
    <row r="6" spans="2:5" s="1282" customFormat="1" ht="13.5" customHeight="1" x14ac:dyDescent="0.2">
      <c r="B6" s="1495" t="s">
        <v>1382</v>
      </c>
      <c r="C6" s="1495" t="s">
        <v>1381</v>
      </c>
      <c r="D6" s="1495" t="s">
        <v>1869</v>
      </c>
    </row>
    <row r="7" spans="2:5" ht="13.5" customHeight="1" x14ac:dyDescent="0.2">
      <c r="B7" s="1496"/>
      <c r="C7" s="324"/>
      <c r="D7" s="324"/>
      <c r="E7" s="324"/>
    </row>
    <row r="8" spans="2:5" ht="13.5" customHeight="1" x14ac:dyDescent="0.2">
      <c r="B8" s="1496" t="s">
        <v>2134</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1870</v>
      </c>
    </row>
    <row r="46" spans="2:5" ht="12.2" customHeight="1" x14ac:dyDescent="0.2">
      <c r="B46" s="1505" t="s">
        <v>1871</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4d435f69-8686-490b-bd6d-b153bf22ab50"/>
    <ds:schemaRef ds:uri="http://purl.org/dc/dcmitype/"/>
    <ds:schemaRef ds:uri="d21dc803-237d-4c68-8692-8d731fd29118"/>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2018-09-20T13:38:22Z</cp:lastPrinted>
  <dcterms:created xsi:type="dcterms:W3CDTF">2003-10-29T19:06:34Z</dcterms:created>
  <dcterms:modified xsi:type="dcterms:W3CDTF">2018-10-31T14:06:26Z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