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30"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9" i="36"/>
  <c r="D71" i="36"/>
  <c r="D72" i="36"/>
  <c r="D79" i="36"/>
  <c r="B60" i="127"/>
  <c r="B61"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E109" i="5"/>
  <c r="G109" i="5"/>
  <c r="B6024" i="106" s="1"/>
  <c r="D6024" i="106" s="1"/>
  <c r="C114" i="5"/>
  <c r="B5125" i="106" s="1"/>
  <c r="D5125" i="106" s="1"/>
  <c r="D114" i="5"/>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E4" i="4"/>
  <c r="B2630" i="106" s="1"/>
  <c r="D2630"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5" i="7"/>
  <c r="B1761" i="106" s="1"/>
  <c r="D1761" i="106" s="1"/>
  <c r="D13" i="7"/>
  <c r="B3726" i="106" s="1"/>
  <c r="D3726" i="106" s="1"/>
  <c r="D9" i="7"/>
  <c r="B1767" i="106" s="1"/>
  <c r="D1767" i="106" s="1"/>
  <c r="F136" i="34"/>
  <c r="F131" i="34"/>
  <c r="F127" i="34"/>
  <c r="B5847" i="106"/>
  <c r="D5847" i="106" s="1"/>
  <c r="B5752" i="106"/>
  <c r="D5752" i="106" s="1"/>
  <c r="B5599" i="106"/>
  <c r="D5599" i="106" s="1"/>
  <c r="K274" i="5"/>
  <c r="H173" i="5"/>
  <c r="B5906" i="106" s="1"/>
  <c r="D5906" i="106" s="1"/>
  <c r="C172" i="5"/>
  <c r="B5214" i="106" s="1"/>
  <c r="D5214" i="106" s="1"/>
  <c r="H109" i="5"/>
  <c r="B6025" i="106" s="1"/>
  <c r="D6025" i="106" s="1"/>
  <c r="D109" i="5"/>
  <c r="B5356" i="106" s="1"/>
  <c r="D5356" i="106" s="1"/>
  <c r="D7" i="7"/>
  <c r="B1763" i="106" s="1"/>
  <c r="D1763" i="106" s="1"/>
  <c r="H4" i="4"/>
  <c r="H6" i="4"/>
  <c r="B2656" i="106" s="1"/>
  <c r="D2656" i="106" s="1"/>
  <c r="B2655" i="106"/>
  <c r="D2655" i="106" s="1"/>
  <c r="B1746" i="106"/>
  <c r="D1746" i="106" s="1"/>
  <c r="D17" i="7"/>
  <c r="B4104" i="106" s="1"/>
  <c r="D4104" i="106" s="1"/>
  <c r="D11" i="7"/>
  <c r="B1768" i="106" s="1"/>
  <c r="D1768" i="106" s="1"/>
  <c r="D15" i="7"/>
  <c r="B1772" i="106" s="1"/>
  <c r="D1772" i="106" s="1"/>
  <c r="F130" i="34" l="1"/>
  <c r="J274" i="5"/>
  <c r="B7054" i="106" s="1"/>
  <c r="D7054" i="106" s="1"/>
  <c r="G4" i="4"/>
  <c r="B2603" i="106" s="1"/>
  <c r="D2603" i="106" s="1"/>
  <c r="F111" i="34"/>
  <c r="H342" i="29"/>
  <c r="B5360" i="106"/>
  <c r="D5360" i="106" s="1"/>
  <c r="D5" i="4"/>
  <c r="B3406" i="106" s="1"/>
  <c r="D3406" i="106" s="1"/>
  <c r="F94" i="34"/>
  <c r="B5096" i="106"/>
  <c r="D5096" i="106" s="1"/>
  <c r="J367" i="29"/>
  <c r="B7245" i="106" s="1"/>
  <c r="D7245" i="106" s="1"/>
  <c r="B7235" i="106"/>
  <c r="D7235" i="106" s="1"/>
  <c r="D12" i="7"/>
  <c r="B1769" i="106" s="1"/>
  <c r="D1769" i="106" s="1"/>
  <c r="F106" i="34"/>
  <c r="F128" i="34"/>
  <c r="D4" i="7"/>
  <c r="B1760" i="106" s="1"/>
  <c r="D1760" i="106" s="1"/>
  <c r="I274" i="5"/>
  <c r="B4373" i="106"/>
  <c r="D4373" i="106" s="1"/>
  <c r="G172" i="5"/>
  <c r="D4" i="4"/>
  <c r="B2564" i="106" s="1"/>
  <c r="D2564" i="106" s="1"/>
  <c r="B3649" i="106"/>
  <c r="D3649" i="106" s="1"/>
  <c r="G367" i="29"/>
  <c r="L367" i="29"/>
  <c r="B3647" i="106"/>
  <c r="D3647" i="106" s="1"/>
  <c r="C352" i="29"/>
  <c r="K41" i="3"/>
  <c r="L15" i="11"/>
  <c r="B3459" i="106" s="1"/>
  <c r="D3459" i="106" s="1"/>
  <c r="H76" i="4"/>
  <c r="B3298" i="106" s="1"/>
  <c r="D3298" i="106" s="1"/>
  <c r="B3254" i="106"/>
  <c r="D3254" i="106" s="1"/>
  <c r="E174" i="29"/>
  <c r="B1309" i="106" s="1"/>
  <c r="D1309" i="106" s="1"/>
  <c r="C129" i="29"/>
  <c r="K24" i="12"/>
  <c r="H367" i="29"/>
  <c r="B1410" i="106"/>
  <c r="D1410" i="106" s="1"/>
  <c r="B1329" i="106"/>
  <c r="D1329" i="106" s="1"/>
  <c r="F61" i="34"/>
  <c r="K350" i="29"/>
  <c r="D68" i="36"/>
  <c r="B2724" i="106"/>
  <c r="D2724" i="106" s="1"/>
  <c r="C173" i="5"/>
  <c r="B5223" i="106" s="1"/>
  <c r="D5223"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B3621" i="106" l="1"/>
  <c r="D3621" i="106" s="1"/>
  <c r="C367" i="29"/>
  <c r="B3622" i="106" s="1"/>
  <c r="D3622" i="106" s="1"/>
  <c r="D7256" i="106"/>
  <c r="D7251" i="106"/>
  <c r="B7733" i="106"/>
  <c r="D7733" i="106" s="1"/>
  <c r="K26" i="12"/>
  <c r="B7743" i="106" s="1"/>
  <c r="D7743" i="106" s="1"/>
  <c r="D7253" i="106"/>
  <c r="G173" i="5"/>
  <c r="B5770" i="106"/>
  <c r="D5770" i="106" s="1"/>
  <c r="B3670" i="106"/>
  <c r="D3670" i="106" s="1"/>
  <c r="K352" i="29"/>
  <c r="B3568" i="106"/>
  <c r="D3568" i="106" s="1"/>
  <c r="D52" i="36"/>
  <c r="C6" i="4"/>
  <c r="B2553" i="106" s="1"/>
  <c r="D2553" i="106" s="1"/>
  <c r="L16" i="11"/>
  <c r="B2061" i="106" s="1"/>
  <c r="D2061"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F8" i="4"/>
  <c r="B5778" i="106"/>
  <c r="D5778" i="106" s="1"/>
  <c r="G6" i="4"/>
  <c r="B2604" i="106" s="1"/>
  <c r="D2604"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K17" i="4"/>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<sst xmlns="http://schemas.openxmlformats.org/spreadsheetml/2006/main" count="5019" uniqueCount="2098">
  <si>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</si>
  <si>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</si>
  <si>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</si>
  <si>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</si>
  <si>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</si>
  <si>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</si>
  <si>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</si>
  <si>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</si>
  <si>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</si>
  <si>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</si>
  <si>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</si>
  <si>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</si>
  <si>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</si>
  <si>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</si>
  <si>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</si>
  <si>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</si>
  <si>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</si>
  <si>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</si>
  <si>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</si>
  <si>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</si>
  <si>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</si>
  <si>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</si>
  <si>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</si>
  <si>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</si>
  <si>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</si>
  <si>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</si>
  <si>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</si>
  <si>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</si>
  <si>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</si>
  <si>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</si>
  <si>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</si>
  <si>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</si>
  <si>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</si>
  <si>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</si>
  <si>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</si>
  <si>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</si>
  <si>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</si>
  <si>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</si>
  <si>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</si>
  <si>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</si>
  <si>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</si>
  <si>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</si>
  <si>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</si>
  <si>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</si>
  <si>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</si>
  <si>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</si>
  <si>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</si>
  <si>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</si>
  <si>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</si>
  <si>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</si>
  <si>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</si>
  <si>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</si>
  <si>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</si>
  <si>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</si>
  <si>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</si>
  <si>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</si>
  <si>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</si>
  <si>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</si>
  <si>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</si>
  <si>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</si>
  <si>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</si>
  <si>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</si>
  <si>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</si>
  <si>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</si>
  <si>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</si>
  <si>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</si>
  <si>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</si>
  <si>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</si>
  <si>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</si>
  <si>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</si>
  <si>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</si>
  <si>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</si>
  <si>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</si>
  <si>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</si>
  <si>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</si>
  <si>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</si>
  <si>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</si>
  <si>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</si>
  <si>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</si>
  <si>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</si>
  <si>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</si>
  <si>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</si>
  <si>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</si>
  <si>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</si>
  <si>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</si>
  <si>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</si>
  <si>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</si>
  <si>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</si>
  <si>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</si>
  <si>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</si>
  <si>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</si>
  <si>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</si>
  <si>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</si>
  <si>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</si>
  <si>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</si>
  <si>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</si>
  <si>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</si>
  <si>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</si>
  <si>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</si>
  <si>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</si>
  <si>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</si>
  <si>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</si>
  <si>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</si>
  <si>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</si>
  <si>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</si>
  <si>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</si>
  <si>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</si>
  <si>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</si>
  <si>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</si>
  <si>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</si>
  <si>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</si>
  <si>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</si>
  <si>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</si>
  <si>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</si>
  <si>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</si>
  <si>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</si>
  <si>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</si>
  <si>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</si>
  <si>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</si>
  <si>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</si>
  <si>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</si>
  <si>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</si>
  <si>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</si>
  <si>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</si>
  <si>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</si>
  <si>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</si>
  <si>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</si>
  <si>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</si>
  <si>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</si>
  <si>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</si>
  <si>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</si>
  <si>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</si>
  <si>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</si>
  <si>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</si>
  <si>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</si>
  <si>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</si>
  <si>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</si>
  <si>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</si>
  <si>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</si>
  <si>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</si>
  <si>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</si>
  <si>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</si>
  <si>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</si>
  <si>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</si>
  <si>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</si>
  <si>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</si>
  <si>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</si>
  <si>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</si>
  <si>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</si>
  <si>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</si>
  <si>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</si>
  <si>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</si>
  <si>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</si>
  <si>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</si>
  <si>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</si>
  <si>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</si>
  <si>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</si>
  <si>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</si>
  <si>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</si>
  <si>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</si>
  <si>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</si>
  <si>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</si>
  <si>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</si>
  <si>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</si>
  <si>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</si>
  <si>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</si>
  <si>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</si>
  <si>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</si>
  <si>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</si>
  <si>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</si>
  <si>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</si>
  <si>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</si>
  <si>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</si>
  <si>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</si>
  <si>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</si>
  <si>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</si>
  <si>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</si>
  <si>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</si>
  <si>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</si>
  <si>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</si>
  <si>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</si>
  <si>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</si>
  <si>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</si>
  <si>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</si>
  <si>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</si>
  <si>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</si>
  <si>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</si>
  <si>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</si>
  <si>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</si>
  <si>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</si>
  <si>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</si>
  <si>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</si>
  <si>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</si>
  <si>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</si>
  <si>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</si>
  <si>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</si>
  <si>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</si>
  <si>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</si>
  <si>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</si>
  <si>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</si>
  <si>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</si>
  <si>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</si>
  <si>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</si>
  <si>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</si>
  <si>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</si>
  <si>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</si>
  <si>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</si>
  <si>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</si>
  <si>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</si>
  <si>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</si>
  <si>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</si>
  <si>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</si>
  <si>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</si>
  <si>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</si>
  <si>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</si>
  <si>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</si>
  <si>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</si>
  <si>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</si>
  <si>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</si>
  <si>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</si>
  <si>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</si>
  <si>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</si>
  <si>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</si>
  <si>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</si>
  <si>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</si>
  <si>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</si>
  <si>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</si>
  <si>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</si>
  <si>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</si>
  <si>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</si>
  <si>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</si>
  <si>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</si>
  <si>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</si>
  <si>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</si>
  <si>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</si>
  <si>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</si>
  <si>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</si>
  <si>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</si>
  <si>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</si>
  <si>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</si>
  <si>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</si>
  <si>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</si>
  <si>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</si>
  <si>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</si>
  <si>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</si>
  <si>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</si>
  <si>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</si>
  <si>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</si>
  <si>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</si>
  <si>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</si>
  <si>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</si>
  <si>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</si>
  <si>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</si>
  <si>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</si>
  <si>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</si>
  <si>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</si>
  <si>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</si>
  <si>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</si>
  <si>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</si>
  <si>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</si>
  <si>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</si>
  <si>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</si>
  <si>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</si>
  <si>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</si>
  <si>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</si>
  <si>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</si>
  <si>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</si>
  <si>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</si>
  <si>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</si>
  <si>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</si>
  <si>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</si>
  <si>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</si>
  <si>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</si>
  <si>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</si>
  <si>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</si>
  <si>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</si>
  <si>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</si>
  <si>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</si>
  <si>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</si>
  <si>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</si>
  <si>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</si>
  <si>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</si>
  <si>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</si>
  <si>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</si>
  <si>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</si>
  <si>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</si>
  <si>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</si>
  <si>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</si>
  <si>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</si>
  <si>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</si>
  <si>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</si>
  <si>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</si>
  <si>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</si>
  <si>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</si>
  <si>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</si>
  <si>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</si>
  <si>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</si>
  <si>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</si>
  <si>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</si>
  <si>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</si>
  <si>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</si>
  <si>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</si>
  <si>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</si>
  <si>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</si>
  <si>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</si>
  <si>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</si>
  <si>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</si>
  <si>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</si>
  <si>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</si>
  <si>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</si>
  <si>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</si>
  <si>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</si>
  <si>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</si>
  <si>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</si>
  <si>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</si>
  <si>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</si>
  <si>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</si>
  <si>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</si>
  <si>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</si>
  <si>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</si>
  <si>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</si>
  <si>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</si>
  <si>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</si>
  <si>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</si>
  <si>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</si>
  <si>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</si>
  <si>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</si>
  <si>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</si>
  <si>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</si>
  <si>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</si>
  <si>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</si>
  <si>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</si>
  <si>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</si>
  <si>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</si>
  <si>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</si>
  <si>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</si>
  <si>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</si>
  <si>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</si>
  <si>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</si>
  <si>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</si>
  <si>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</si>
  <si>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</si>
  <si>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</si>
  <si>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</si>
  <si>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</si>
  <si>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</si>
  <si>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</si>
  <si>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</si>
  <si>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</si>
  <si>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</si>
  <si>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</si>
  <si>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</si>
  <si>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</si>
  <si>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</si>
  <si>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</si>
  <si>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</si>
  <si>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</si>
  <si>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</si>
  <si>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</si>
  <si>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</si>
  <si>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</si>
  <si>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</si>
  <si>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</si>
  <si>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</si>
  <si>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</si>
  <si>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</si>
  <si>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</si>
  <si>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</si>
  <si>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</si>
  <si>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</si>
  <si>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</si>
  <si>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</si>
  <si>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</si>
  <si>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</si>
  <si>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</si>
  <si>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</si>
  <si>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</si>
  <si>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</si>
  <si>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</si>
  <si>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</si>
  <si>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</si>
  <si>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</si>
  <si>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</si>
  <si>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</si>
  <si>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</si>
  <si>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</si>
  <si>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</si>
  <si>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</si>
  <si>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</si>
  <si>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</si>
  <si>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</si>
  <si>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</si>
  <si>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</si>
  <si>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</si>
  <si>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</si>
  <si>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</si>
  <si>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</si>
  <si>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</si>
  <si>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</si>
  <si>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</si>
  <si>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</si>
  <si>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</si>
  <si>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</si>
  <si>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</si>
  <si>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</si>
  <si>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</si>
  <si>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</si>
  <si>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</si>
  <si>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</si>
  <si>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</si>
  <si>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</si>
  <si>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</si>
  <si>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</si>
  <si>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</si>
  <si>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</si>
  <si>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</si>
  <si>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</si>
  <si>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</si>
  <si>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</si>
  <si>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</si>
  <si>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</si>
  <si>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</si>
  <si>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</si>
  <si>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</si>
  <si>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</si>
  <si>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</si>
  <si>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</si>
  <si>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</si>
  <si>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</si>
  <si>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</si>
  <si>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</si>
  <si>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</si>
  <si>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</si>
  <si>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</si>
  <si>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</si>
  <si>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</si>
  <si>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</si>
  <si>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</si>
  <si>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</si>
  <si>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</si>
  <si>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</si>
  <si>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</si>
  <si>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</si>
  <si>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</si>
  <si>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</si>
  <si>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</si>
  <si>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</si>
  <si>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</si>
  <si>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</si>
  <si>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</si>
  <si>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</si>
  <si>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</si>
  <si>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</si>
  <si>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</si>
  <si>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</si>
  <si>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</si>
  <si>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</si>
  <si>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</si>
  <si>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</si>
  <si>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</si>
  <si>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</si>
  <si>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</si>
  <si>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</si>
  <si>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</si>
  <si>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</si>
  <si>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</si>
  <si>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</si>
  <si>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</si>
  <si>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</si>
  <si>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</si>
  <si>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</si>
  <si>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</si>
  <si>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</si>
  <si>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</si>
  <si>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</si>
  <si>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</si>
  <si>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</si>
  <si>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</si>
  <si>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</si>
  <si>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</si>
  <si>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</si>
  <si>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</si>
  <si>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</si>
  <si>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</si>
  <si>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</si>
  <si>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</si>
  <si>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</si>
  <si>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</si>
  <si>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</si>
  <si>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</si>
  <si>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</si>
  <si>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</si>
  <si>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</si>
  <si>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</si>
  <si>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</si>
  <si>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</si>
  <si>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</si>
  <si>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</si>
  <si>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</si>
  <si>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</si>
  <si>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</si>
  <si>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</si>
  <si>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</si>
  <si>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</si>
  <si>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</si>
  <si>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</si>
  <si>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</si>
  <si>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</si>
  <si>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</si>
  <si>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</si>
  <si>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</si>
  <si>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</si>
  <si>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</si>
  <si>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</si>
  <si>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</si>
  <si>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</si>
  <si>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</si>
  <si>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</si>
  <si>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</si>
  <si>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</si>
  <si>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</si>
  <si>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</si>
  <si>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</si>
  <si>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</si>
  <si>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</si>
  <si>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</si>
  <si>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</si>
  <si>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</si>
  <si>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</si>
  <si>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</si>
  <si>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</si>
  <si>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</si>
  <si>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</si>
  <si>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</si>
  <si>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</si>
  <si>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</si>
  <si>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</si>
  <si>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</si>
  <si>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</si>
  <si>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</si>
  <si>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</si>
  <si>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</si>
  <si>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</si>
  <si>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</si>
  <si>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</si>
  <si>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</si>
  <si>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</si>
  <si>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</si>
  <si>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</si>
  <si>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</si>
  <si>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</si>
  <si>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</si>
  <si>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</si>
  <si>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</si>
  <si>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</si>
  <si>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</si>
  <si>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</si>
  <si>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</si>
  <si>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</si>
  <si>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</si>
  <si>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</si>
  <si>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</si>
  <si>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</si>
  <si>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</si>
  <si>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</si>
  <si>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</si>
  <si>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</si>
  <si>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</si>
  <si>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</si>
  <si>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</si>
  <si>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</si>
  <si>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</si>
  <si>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</si>
  <si>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</si>
  <si>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</si>
  <si>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</si>
  <si>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</si>
  <si>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</si>
  <si>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</si>
  <si>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</si>
  <si>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</si>
  <si>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</si>
  <si>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</si>
  <si>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</si>
  <si>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</si>
  <si>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</si>
  <si>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</si>
  <si>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</si>
  <si>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</si>
  <si>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</si>
  <si>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</si>
  <si>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</si>
  <si>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</si>
  <si>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</si>
  <si>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</si>
  <si>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</si>
  <si>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</si>
  <si>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</si>
  <si>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</si>
  <si>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</si>
  <si>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</si>
  <si>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</si>
  <si>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</si>
  <si>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</si>
  <si>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</si>
  <si>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</si>
  <si>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</si>
  <si>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</si>
  <si>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</si>
  <si>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</si>
  <si>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</si>
  <si>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</si>
  <si>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</si>
  <si>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</si>
  <si>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</si>
  <si>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</si>
  <si>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</si>
  <si>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</si>
  <si>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</si>
  <si>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</si>
  <si>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</si>
  <si>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</si>
  <si>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</si>
  <si>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</si>
  <si>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</si>
  <si>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</si>
  <si>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</si>
  <si>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</si>
  <si>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</si>
  <si>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</si>
  <si>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</si>
  <si>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</si>
  <si>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</si>
  <si>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</si>
  <si>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</si>
  <si>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</si>
  <si>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</si>
  <si>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</si>
  <si>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</si>
  <si>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</si>
  <si>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</si>
  <si>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</si>
  <si>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</si>
  <si>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</si>
  <si>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</si>
  <si>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</si>
  <si>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</si>
  <si>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</si>
  <si>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</si>
  <si>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</si>
  <si>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</si>
  <si>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</si>
  <si>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</si>
  <si>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</si>
  <si>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</si>
  <si>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</si>
  <si>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</si>
  <si>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</si>
  <si>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</si>
  <si>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</si>
  <si>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</si>
  <si>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</si>
  <si>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</si>
  <si>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</si>
  <si>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</si>
  <si>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</si>
  <si>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</si>
  <si>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</si>
  <si>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</si>
  <si>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</si>
  <si>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</si>
  <si>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</si>
  <si>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</si>
  <si>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</si>
  <si>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</si>
  <si>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</si>
  <si>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</si>
  <si>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</si>
  <si>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</si>
  <si>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</si>
  <si>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</si>
  <si>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</si>
  <si>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</si>
  <si>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</si>
  <si>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</si>
  <si>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</si>
  <si>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</si>
  <si>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</si>
  <si>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</si>
  <si>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</si>
  <si>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</si>
  <si>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</si>
  <si>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</si>
  <si>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</si>
  <si>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</si>
  <si>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</si>
  <si>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</si>
  <si>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</si>
  <si>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</si>
  <si>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</si>
  <si>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</si>
  <si>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</si>
  <si>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</si>
  <si>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</si>
  <si>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</si>
  <si>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</si>
  <si>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</si>
  <si>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</si>
  <si>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</si>
  <si>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</si>
  <si>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</si>
  <si>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</si>
  <si>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</si>
  <si>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</si>
  <si>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</si>
  <si>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</si>
  <si>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</si>
  <si>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</si>
  <si>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</si>
  <si>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</si>
  <si>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</si>
  <si>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</si>
  <si>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</si>
  <si>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</si>
  <si>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</si>
  <si>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</si>
  <si>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</si>
  <si>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</si>
  <si>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</si>
  <si>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</si>
  <si>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</si>
  <si>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</si>
  <si>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</si>
  <si>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</si>
  <si>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</si>
  <si>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</si>
  <si>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</si>
  <si>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</si>
  <si>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</si>
  <si>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</si>
  <si>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</si>
  <si>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</si>
  <si>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</si>
  <si>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</si>
  <si>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</si>
  <si>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</si>
  <si>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</si>
  <si>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</si>
  <si>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</si>
  <si>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</si>
  <si>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</si>
  <si>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</si>
  <si>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</si>
  <si>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</si>
  <si>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</si>
  <si>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</si>
  <si>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</si>
  <si>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</si>
  <si>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</si>
  <si>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</si>
  <si>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</si>
  <si>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</si>
  <si>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</si>
  <si>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</si>
  <si>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</si>
  <si>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</si>
  <si>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</si>
  <si>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</si>
  <si>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</si>
  <si>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</si>
  <si>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</si>
  <si>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</si>
  <si>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</si>
  <si>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</si>
  <si>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</si>
  <si>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</si>
  <si>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</si>
  <si>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</si>
  <si>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</si>
  <si>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</si>
  <si>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</si>
  <si>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</si>
  <si>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</si>
  <si>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</si>
  <si>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</si>
  <si>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</si>
  <si>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</si>
  <si>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</si>
  <si>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</si>
  <si>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</si>
  <si>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</si>
  <si>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</si>
  <si>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</si>
  <si>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</si>
  <si>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</si>
  <si>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</si>
  <si>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</si>
  <si>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</si>
  <si>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</si>
  <si>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</si>
  <si>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</si>
  <si>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</si>
  <si>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</si>
  <si>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</si>
  <si>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</si>
  <si>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</si>
  <si>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</si>
  <si>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</si>
  <si>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</si>
  <si>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</si>
  <si>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</si>
  <si>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</si>
  <si>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</si>
  <si>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</si>
  <si>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</si>
  <si>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</si>
  <si>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</si>
  <si>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</si>
  <si>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</si>
  <si>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</si>
  <si>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</si>
  <si>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</si>
  <si>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</si>
  <si>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</si>
  <si>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</si>
  <si>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</si>
  <si>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</si>
  <si>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</si>
  <si>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</si>
  <si>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</si>
  <si>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</si>
  <si>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</si>
  <si>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</si>
  <si>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</si>
  <si>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</si>
  <si>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</si>
  <si>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</si>
  <si>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</si>
  <si>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</si>
  <si>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</si>
  <si>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</si>
  <si>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</si>
  <si>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</si>
  <si>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</si>
  <si>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</si>
  <si>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</si>
  <si>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</si>
  <si>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</si>
  <si>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</si>
  <si>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</si>
  <si>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</si>
  <si>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</si>
  <si>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</si>
  <si>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</si>
  <si>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</si>
  <si>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</si>
  <si>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</si>
  <si>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</si>
  <si>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</si>
  <si>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</si>
  <si>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</si>
  <si>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</si>
  <si>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</si>
  <si>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</si>
  <si>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</si>
  <si>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</si>
  <si>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</si>
  <si>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</si>
  <si>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</si>
  <si>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</si>
  <si>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</si>
  <si>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</si>
  <si>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</si>
  <si>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</si>
  <si>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</si>
  <si>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</si>
  <si>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</si>
  <si>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</si>
  <si>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</si>
  <si>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</si>
  <si>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</si>
  <si>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</si>
  <si>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</si>
  <si>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</si>
  <si>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</si>
  <si>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</si>
  <si>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</si>
  <si>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</si>
  <si>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</si>
  <si>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</si>
  <si>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</si>
  <si>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</si>
  <si>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</si>
  <si>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</si>
  <si>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</si>
  <si>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</si>
  <si>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</si>
  <si>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</si>
  <si>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</si>
  <si>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</si>
  <si>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</si>
  <si>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</si>
  <si>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</si>
  <si>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</si>
  <si>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</si>
  <si>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</si>
  <si>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</si>
  <si>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</si>
  <si>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</si>
  <si>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</si>
  <si>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</si>
  <si>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</si>
  <si>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</si>
  <si>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</si>
  <si>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</si>
  <si>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</si>
  <si>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</si>
  <si>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</si>
  <si>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</si>
  <si>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</si>
  <si>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</si>
  <si>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</si>
  <si>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</si>
  <si>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</si>
  <si>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</si>
  <si>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</si>
  <si>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</si>
  <si>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</si>
  <si>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</si>
  <si>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</si>
  <si>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</si>
  <si>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</si>
  <si>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</si>
  <si>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</si>
  <si>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</si>
  <si>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</si>
  <si>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</si>
  <si>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</si>
  <si>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</si>
  <si>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</si>
  <si>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</si>
  <si>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</si>
  <si>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</si>
  <si>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</si>
  <si>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</si>
  <si>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</si>
  <si>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</si>
  <si>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</si>
  <si>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</si>
  <si>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</si>
  <si>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</si>
  <si>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</si>
  <si>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</si>
  <si>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</si>
  <si>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</si>
  <si>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</si>
  <si>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</si>
  <si>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</si>
  <si>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</si>
  <si>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</si>
  <si>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</si>
  <si>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</si>
  <si>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</si>
  <si>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</si>
  <si>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</si>
  <si>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</si>
  <si>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</si>
  <si>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</si>
  <si>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</si>
  <si>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</si>
  <si>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</si>
  <si>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</si>
  <si>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</si>
  <si>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</si>
  <si>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</si>
  <si>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</si>
  <si>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</si>
  <si>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</si>
  <si>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</si>
  <si>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</si>
  <si>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</si>
  <si>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</si>
  <si>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</si>
  <si>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</si>
  <si>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</si>
  <si>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</si>
  <si>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</si>
  <si>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</si>
  <si>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</si>
  <si>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</si>
  <si>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</si>
  <si>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</si>
  <si>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</si>
  <si>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</si>
  <si>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</si>
  <si>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</si>
  <si>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</si>
  <si>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</si>
  <si>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</si>
  <si>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</si>
  <si>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</si>
  <si>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</si>
  <si>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</si>
  <si>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</si>
  <si>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</si>
  <si>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</si>
  <si>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</si>
  <si>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</si>
  <si>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</si>
  <si>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</si>
  <si>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</si>
  <si>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</si>
  <si>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</si>
  <si>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</si>
  <si>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</si>
  <si>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</si>
  <si>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</si>
  <si>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</si>
  <si>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</si>
  <si>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</si>
  <si>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</si>
  <si>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</si>
  <si>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</si>
  <si>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</si>
  <si>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</si>
  <si>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</si>
  <si>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</si>
  <si>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</si>
  <si>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</si>
  <si>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</si>
  <si>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</si>
  <si>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</si>
  <si>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</si>
  <si>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</si>
  <si>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</si>
  <si>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</si>
  <si>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</si>
  <si>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</si>
  <si>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</si>
  <si>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</si>
  <si>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</si>
  <si>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</si>
  <si>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</si>
  <si>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</si>
  <si>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</si>
  <si>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</si>
  <si>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</si>
  <si>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</si>
  <si>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</si>
  <si>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</si>
  <si>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</si>
  <si>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</si>
  <si>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</si>
  <si>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</si>
  <si>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</si>
  <si>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</si>
  <si>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</si>
  <si>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</si>
  <si>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</si>
  <si>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</si>
  <si>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</si>
  <si>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</si>
  <si>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</si>
  <si>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</si>
  <si>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</si>
  <si>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</si>
  <si>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</si>
  <si>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</si>
  <si>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</si>
  <si>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</si>
  <si>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</si>
  <si>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</si>
  <si>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</si>
  <si>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</si>
  <si>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</si>
  <si>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</si>
  <si>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</si>
  <si>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</si>
  <si>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</si>
  <si>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</si>
  <si>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</si>
  <si>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</si>
  <si>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</si>
  <si>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</si>
  <si>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</si>
  <si>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</si>
  <si>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</si>
  <si>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</si>
  <si>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</si>
  <si>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</si>
  <si>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</si>
  <si>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</si>
  <si>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</si>
  <si>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</si>
  <si>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</si>
  <si>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</si>
  <si>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</si>
  <si>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</si>
  <si>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</si>
  <si>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</si>
  <si>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</si>
  <si>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</si>
  <si>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</si>
  <si>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</si>
  <si>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</si>
  <si>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</si>
  <si>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</si>
  <si>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</si>
  <si>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</si>
  <si>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</si>
  <si>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</si>
  <si>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</si>
  <si>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</si>
  <si>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</si>
  <si>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</si>
  <si>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</si>
  <si>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</si>
  <si>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</si>
  <si>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</si>
  <si>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</si>
  <si>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</si>
  <si>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</si>
  <si>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</si>
  <si>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</si>
  <si>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</si>
  <si>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</si>
  <si>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</si>
  <si>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</si>
  <si>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</si>
  <si>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</si>
  <si>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</si>
  <si>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</si>
  <si>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</si>
  <si>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</si>
  <si>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</si>
  <si>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</si>
  <si>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</si>
  <si>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</si>
  <si>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</si>
  <si>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</si>
  <si>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</si>
  <si>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</si>
  <si>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</si>
  <si>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</si>
  <si>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</si>
  <si>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</si>
  <si>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</si>
  <si>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</si>
  <si>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</si>
  <si>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</si>
  <si>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</si>
  <si>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</si>
  <si>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</si>
  <si>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</si>
  <si>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</si>
  <si>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</si>
  <si>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</si>
  <si>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</si>
  <si>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</si>
  <si>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</si>
  <si>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</si>
  <si>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</si>
  <si>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</si>
  <si>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</si>
  <si>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</si>
  <si>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</si>
  <si>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</si>
  <si>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</si>
  <si>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</si>
  <si>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</si>
  <si>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</si>
  <si>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</si>
  <si>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</si>
  <si>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</si>
  <si>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</si>
  <si>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</si>
  <si>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</si>
  <si>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</si>
  <si>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</si>
  <si>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</si>
  <si>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</si>
  <si>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</si>
  <si>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</si>
  <si>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</si>
  <si>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</si>
  <si>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</si>
  <si>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</si>
  <si>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</si>
  <si>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</si>
  <si>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</si>
  <si>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</si>
  <si>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</si>
  <si>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</si>
  <si>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</si>
  <si>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</si>
  <si>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</si>
  <si>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</si>
  <si>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</si>
  <si>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</si>
  <si>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</si>
  <si>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</si>
  <si>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</si>
  <si>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</si>
  <si>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</si>
  <si>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</si>
  <si>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</si>
  <si>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</si>
  <si>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</si>
  <si>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</si>
  <si>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</si>
  <si>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</si>
  <si>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</si>
  <si>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</si>
  <si>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</si>
  <si>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</si>
  <si>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</si>
  <si>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</si>
  <si>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</si>
  <si>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</si>
  <si>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</si>
  <si>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</si>
  <si>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</si>
  <si>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</si>
  <si>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</si>
  <si>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</si>
  <si>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</si>
  <si>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</si>
  <si>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</si>
  <si>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</si>
  <si>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</si>
  <si>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</si>
  <si>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</si>
  <si>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</si>
  <si>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</si>
  <si>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</si>
  <si>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</si>
  <si>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</si>
  <si>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</si>
  <si>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</si>
  <si>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</si>
  <si>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</si>
  <si>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</si>
  <si>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</si>
  <si>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</si>
  <si>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</si>
  <si>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</si>
  <si>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</si>
  <si>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</si>
  <si>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</si>
  <si>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</si>
  <si>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</si>
  <si>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</si>
  <si>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</si>
  <si>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</si>
  <si>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</si>
  <si>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</si>
  <si>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</si>
  <si>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</si>
  <si>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</si>
  <si>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</si>
  <si>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</si>
  <si>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</si>
  <si>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</si>
  <si>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</si>
  <si>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</si>
  <si>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</si>
  <si>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</si>
  <si>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</si>
  <si>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</si>
  <si>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</si>
  <si>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</si>
  <si>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</si>
  <si>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</si>
  <si>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</si>
  <si>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</si>
  <si>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</si>
  <si>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</si>
  <si>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</si>
  <si>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</si>
  <si>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</si>
  <si>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</si>
  <si>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</si>
  <si>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</si>
  <si>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</si>
  <si>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</si>
  <si>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</si>
  <si>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</si>
  <si>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</si>
  <si>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</si>
  <si>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</si>
  <si>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</si>
  <si>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</si>
  <si>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</si>
  <si>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</si>
  <si>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</si>
  <si>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</si>
  <si>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</si>
  <si>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</si>
  <si>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</si>
  <si>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</si>
  <si>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</si>
  <si>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</si>
  <si>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</si>
  <si>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</si>
  <si>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</si>
  <si>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</si>
  <si>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</si>
  <si>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</si>
  <si>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</si>
  <si>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</si>
  <si>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</si>
  <si>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</si>
  <si>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</si>
  <si>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</si>
  <si>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</si>
  <si>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</si>
  <si>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</si>
  <si>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</si>
  <si>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</si>
  <si>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</si>
  <si>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</si>
  <si>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</si>
  <si>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</si>
  <si>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</si>
  <si>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</si>
  <si>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</si>
  <si>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</si>
  <si>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</si>
  <si>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</si>
  <si>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</si>
  <si>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</si>
  <si>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</si>
  <si>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</si>
  <si>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</si>
  <si>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</si>
  <si>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</si>
  <si>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</si>
  <si>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</si>
  <si>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</si>
  <si>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</si>
  <si>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</si>
  <si>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</si>
  <si>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</si>
  <si>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</si>
  <si>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</si>
  <si>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</si>
  <si>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</si>
  <si>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</si>
  <si>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</si>
  <si>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</si>
  <si>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</si>
  <si>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</si>
  <si>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</si>
  <si>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</si>
  <si>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</si>
  <si>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</si>
  <si>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</si>
  <si>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</si>
  <si>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</si>
  <si>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</si>
  <si>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</si>
  <si>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</si>
  <si>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</si>
  <si>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</si>
  <si>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</si>
  <si>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</si>
  <si>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</si>
  <si>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</si>
  <si>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</si>
  <si>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</si>
  <si>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</si>
  <si>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</si>
  <si>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</si>
  <si>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</si>
  <si>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</si>
  <si>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</si>
  <si>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</si>
  <si>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</si>
  <si>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</si>
  <si>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</si>
  <si>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</si>
  <si>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</si>
  <si>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</si>
  <si>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</si>
  <si>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</si>
  <si>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</si>
  <si>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</si>
  <si>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</si>
  <si>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</si>
  <si>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</si>
  <si>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</si>
  <si>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</si>
  <si>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</si>
  <si>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</si>
  <si>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</si>
  <si>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</si>
  <si>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</si>
  <si>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</si>
  <si>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</si>
  <si>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</si>
  <si>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</si>
  <si>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</si>
  <si>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</si>
  <si>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</si>
  <si>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</si>
  <si>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</si>
  <si>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</si>
  <si>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</si>
  <si>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</si>
  <si>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</si>
  <si>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</si>
  <si>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</si>
  <si>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</si>
  <si>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</si>
  <si>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</si>
  <si>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</si>
  <si>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</si>
  <si>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</si>
  <si>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</si>
  <si>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</si>
  <si>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</si>
  <si>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</si>
  <si>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</si>
  <si>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</si>
  <si>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</si>
  <si>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</si>
  <si>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</si>
  <si>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</si>
  <si>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</si>
  <si>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</si>
  <si>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</si>
  <si>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</si>
  <si>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</si>
  <si>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</si>
  <si>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</si>
  <si>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</si>
  <si>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</si>
  <si>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</si>
  <si>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</si>
  <si>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</si>
  <si>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</si>
  <si>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</si>
  <si>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</si>
  <si>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</si>
  <si>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</si>
  <si>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</si>
  <si>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</si>
  <si>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</si>
  <si>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</si>
  <si>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</si>
  <si>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</si>
  <si>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</si>
  <si>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</si>
  <si>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</si>
  <si>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</si>
  <si>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</si>
  <si>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</si>
  <si>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</si>
  <si>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</si>
  <si>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</si>
  <si>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</si>
  <si>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</si>
  <si>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</si>
  <si>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</si>
  <si>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</si>
  <si>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</si>
  <si>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</si>
  <si>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</si>
  <si>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</si>
  <si>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</si>
  <si>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</si>
  <si>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</si>
  <si>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</si>
  <si>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</si>
  <si>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</si>
  <si>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</si>
  <si>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</si>
  <si>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</si>
  <si>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</si>
  <si>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</si>
  <si>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</si>
  <si>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</si>
  <si>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</si>
  <si>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</si>
  <si>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</si>
  <si>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</si>
  <si>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</si>
  <si>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</si>
  <si>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</si>
  <si>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</si>
  <si>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</si>
  <si>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</si>
  <si>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</si>
  <si>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</si>
  <si>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</si>
  <si>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</si>
  <si>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</si>
  <si>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</si>
  <si>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</si>
  <si>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</si>
  <si>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</si>
  <si>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</si>
  <si>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</si>
  <si>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</si>
  <si>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</si>
  <si>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</si>
  <si>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</si>
  <si>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</si>
  <si>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</si>
  <si>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</si>
  <si>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</si>
  <si>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</si>
  <si>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</si>
  <si>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</si>
  <si>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</si>
  <si>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</si>
  <si>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</si>
  <si>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</si>
  <si>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</si>
  <si>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</si>
  <si>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</si>
  <si>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</si>
  <si>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</si>
  <si>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</si>
  <si>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</si>
  <si>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</si>
  <si>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</si>
  <si>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</si>
  <si>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</si>
  <si>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</si>
  <si>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</si>
  <si>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</si>
  <si>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</si>
  <si>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</si>
  <si>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</si>
  <si>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</si>
  <si>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</si>
  <si>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</si>
  <si>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</si>
  <si>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</si>
  <si>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</si>
  <si>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</si>
  <si>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</si>
  <si>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</si>
  <si>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</si>
  <si>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</si>
  <si>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</si>
  <si>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</si>
  <si>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</si>
  <si>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</si>
  <si>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</si>
  <si>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</si>
  <si>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</si>
  <si>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</si>
  <si>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</si>
  <si>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</si>
  <si>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</si>
  <si>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</si>
  <si>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</si>
  <si>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</si>
  <si>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</si>
  <si>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</si>
  <si>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</si>
  <si>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</si>
  <si>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</si>
  <si>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</si>
  <si>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</si>
  <si>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</si>
  <si>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</si>
  <si>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</si>
  <si>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</si>
  <si>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</si>
  <si>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</si>
  <si>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</si>
  <si>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</si>
  <si>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</si>
  <si>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</si>
  <si>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</si>
  <si>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</si>
  <si>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</si>
  <si>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</si>
  <si>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</si>
  <si>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</si>
  <si>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</si>
  <si>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</si>
  <si>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</si>
  <si>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</si>
  <si>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</si>
  <si>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</si>
  <si>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</si>
  <si>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</si>
  <si>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</si>
  <si>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</si>
  <si>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</si>
  <si>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</si>
  <si>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</si>
  <si>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</si>
  <si>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</si>
  <si>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</si>
  <si>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</si>
  <si>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</si>
  <si>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</si>
  <si>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</si>
  <si>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</si>
  <si>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</si>
  <si>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</si>
  <si>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</si>
  <si>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</si>
  <si>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</si>
  <si>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</si>
  <si>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</si>
  <si>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</si>
  <si>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</si>
  <si>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</si>
  <si>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</si>
  <si>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</si>
  <si>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</si>
  <si>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</si>
  <si>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</si>
  <si>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</si>
  <si>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</si>
  <si>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</si>
  <si>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</si>
  <si>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</si>
  <si>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</si>
  <si>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</si>
  <si>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</si>
  <si>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</si>
  <si>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</si>
  <si>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</si>
  <si>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</si>
  <si>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</si>
  <si>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</si>
  <si>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</si>
  <si>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</si>
  <si>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</si>
  <si>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</si>
  <si>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</si>
  <si>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</si>
  <si>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</si>
  <si>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</si>
  <si>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</si>
  <si>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</si>
  <si>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</si>
  <si>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</si>
  <si>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</si>
  <si>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</si>
  <si>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</si>
  <si>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</si>
  <si>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</si>
  <si>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</si>
  <si>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</si>
  <si>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</si>
  <si>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</si>
  <si>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</si>
  <si>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</si>
  <si>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</si>
  <si>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</si>
  <si>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</si>
  <si>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</si>
  <si>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</si>
  <si>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</si>
  <si>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</si>
  <si>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</si>
  <si>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</si>
  <si>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</si>
  <si>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</si>
  <si>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</si>
  <si>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</si>
  <si>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</si>
  <si>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</si>
  <si>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</si>
  <si>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</si>
  <si>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</si>
  <si>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</si>
  <si>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</si>
  <si>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</si>
  <si>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</si>
  <si>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</si>
  <si>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</si>
  <si>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</si>
  <si>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</si>
  <si>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</si>
  <si>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</si>
  <si>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</si>
  <si>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</si>
  <si>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</si>
  <si>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</si>
  <si>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</si>
  <si>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</si>
  <si>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</si>
  <si>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</si>
  <si>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</si>
  <si>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</si>
  <si>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</si>
  <si>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</si>
  <si>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</si>
  <si>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</si>
  <si>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</si>
  <si>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</si>
  <si>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</si>
  <si>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</si>
  <si>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</si>
  <si>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</si>
  <si>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</si>
  <si>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</si>
  <si>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</si>
  <si>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</si>
  <si>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</si>
  <si>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</si>
  <si>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</si>
  <si>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</si>
  <si>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</si>
  <si>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</si>
  <si>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</si>
  <si>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</si>
  <si>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</si>
  <si>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</si>
  <si>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</si>
  <si>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</si>
  <si>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</si>
  <si>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</si>
  <si>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</si>
  <si>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</si>
  <si>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</si>
  <si>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</si>
  <si>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</si>
  <si>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</si>
  <si>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</si>
  <si>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</si>
  <si>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</si>
  <si>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</si>
  <si>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</si>
  <si>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</si>
  <si>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</si>
  <si>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</si>
  <si>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</si>
  <si>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</si>
  <si>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</si>
  <si>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</si>
  <si>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</si>
  <si>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</si>
  <si>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</si>
  <si>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</si>
  <si>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</si>
  <si>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</si>
  <si>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</si>
  <si>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</si>
  <si>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</si>
  <si>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</si>
  <si>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</si>
  <si>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</si>
  <si>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</si>
  <si>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</si>
  <si>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</si>
  <si>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</si>
  <si>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</si>
  <si>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</si>
  <si>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</si>
  <si>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</si>
  <si>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</si>
  <si>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</si>
  <si>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</si>
  <si>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</si>
  <si>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</si>
  <si>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</si>
  <si>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</si>
  <si>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</si>
  <si>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</si>
  <si>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</si>
  <si>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</si>
  <si>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</si>
  <si>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</si>
  <si>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</si>
  <si>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</si>
  <si>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</si>
  <si>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</si>
  <si>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</si>
  <si>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</si>
  <si>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</si>
  <si>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</si>
  <si>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</si>
  <si>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</si>
  <si>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</si>
  <si>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</si>
  <si>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</si>
  <si>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</si>
  <si>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</si>
  <si>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</si>
  <si>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</si>
  <si>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</si>
  <si>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</si>
  <si>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</si>
  <si>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</si>
  <si>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</si>
  <si>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</si>
  <si>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</si>
  <si>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</si>
  <si>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</si>
  <si>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</si>
  <si>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</si>
  <si>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</si>
  <si>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</si>
  <si>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</si>
  <si>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</si>
  <si>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</si>
  <si>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</si>
  <si>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</si>
  <si>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</si>
  <si>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</si>
  <si>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</si>
  <si>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</si>
  <si>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</si>
  <si>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</si>
  <si>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</si>
  <si>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</si>
  <si>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</si>
  <si>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</si>
  <si>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</si>
  <si>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</si>
  <si>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</si>
  <si>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</si>
  <si>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</si>
  <si>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</si>
  <si>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</si>
  <si>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</si>
  <si>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</si>
  <si>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</si>
  <si>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</si>
  <si>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</si>
  <si>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</si>
  <si>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</si>
  <si>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</si>
  <si>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</si>
  <si>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</si>
  <si>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</si>
  <si>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</si>
  <si>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</si>
  <si>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</si>
  <si>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</si>
  <si>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</si>
  <si>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</si>
  <si>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</si>
  <si>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</si>
  <si>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</si>
  <si>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</si>
  <si>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</si>
  <si>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</si>
  <si>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</si>
  <si>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</si>
  <si>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</si>
  <si>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</si>
  <si>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</si>
  <si>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</si>
  <si>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</si>
  <si>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</si>
  <si>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</si>
  <si>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</si>
  <si>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</si>
  <si>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</si>
  <si>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</si>
  <si>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</si>
  <si>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</si>
  <si>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</si>
  <si>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</si>
  <si>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</si>
  <si>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</si>
  <si>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</si>
  <si>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</si>
  <si>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</si>
  <si>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</si>
  <si>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</si>
  <si>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</si>
  <si>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</si>
  <si>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</si>
  <si>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</si>
  <si>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</si>
  <si>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</si>
  <si>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</si>
  <si>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</si>
  <si>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</si>
  <si>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</si>
  <si>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</si>
  <si>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</si>
  <si>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</si>
  <si>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</si>
  <si>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</si>
  <si>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</si>
  <si>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</si>
  <si>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</si>
  <si>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</si>
  <si>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</si>
  <si>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</si>
  <si>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</si>
  <si>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</si>
  <si>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</si>
  <si>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</si>
  <si>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</si>
  <si>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</si>
  <si>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</si>
  <si>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</si>
  <si>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</si>
  <si>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</si>
  <si>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</si>
  <si>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</si>
  <si>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</si>
  <si>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</si>
  <si>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</si>
  <si>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</si>
  <si>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</si>
  <si>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</si>
  <si>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</si>
  <si>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</si>
  <si>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</si>
  <si>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</si>
  <si>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</si>
  <si>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</si>
  <si>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</si>
  <si>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</si>
  <si>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</si>
  <si>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</si>
  <si>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</si>
  <si>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</si>
  <si>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</si>
  <si>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</si>
  <si>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</si>
  <si>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</si>
  <si>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</si>
  <si>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</si>
  <si>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</si>
  <si>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</si>
  <si>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</si>
  <si>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</si>
  <si>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</si>
  <si>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</si>
  <si>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</si>
  <si>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</si>
  <si>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</si>
  <si>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</si>
  <si>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</si>
  <si>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</si>
  <si>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</si>
  <si>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</si>
  <si>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</si>
  <si>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</si>
  <si>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</si>
  <si>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</si>
  <si>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</si>
  <si>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</si>
  <si>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</si>
  <si>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</si>
  <si>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</si>
  <si>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</si>
  <si>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</si>
  <si>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</si>
  <si>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</si>
  <si>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</si>
  <si>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</si>
  <si>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</si>
  <si>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</si>
  <si>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</si>
  <si>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</si>
  <si>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</si>
  <si>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</si>
  <si>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</si>
  <si>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</si>
  <si>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</si>
  <si>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</si>
  <si>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</si>
  <si>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</si>
  <si>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</si>
  <si>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</si>
  <si>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</si>
  <si>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</si>
  <si>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</si>
  <si>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</si>
  <si>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</si>
  <si>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</si>
  <si>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</si>
  <si>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</si>
  <si>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</si>
  <si>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</si>
  <si>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</si>
  <si>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</si>
  <si>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</si>
  <si>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</si>
  <si>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</si>
  <si>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</si>
  <si>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</si>
  <si>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</si>
  <si>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</si>
  <si>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</si>
  <si>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</si>
  <si>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</si>
  <si>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</si>
  <si>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</si>
  <si>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</si>
  <si>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</si>
  <si>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</si>
  <si>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</si>
  <si>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</si>
  <si>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</si>
  <si>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</si>
  <si>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</si>
  <si>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</si>
  <si>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</si>
  <si>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</si>
  <si>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</si>
  <si>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</si>
  <si>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</si>
  <si>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</si>
  <si>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</si>
  <si>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</si>
  <si>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</si>
  <si>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</si>
  <si>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</si>
  <si>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</si>
  <si>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</si>
  <si>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</si>
  <si>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</si>
  <si>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</si>
  <si>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</si>
  <si>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</si>
  <si>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</si>
  <si>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</si>
  <si>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</si>
  <si>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</si>
  <si>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</si>
  <si>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</si>
  <si>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</si>
  <si>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</si>
  <si>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</si>
  <si>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</si>
  <si>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</si>
  <si>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</si>
  <si>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</si>
  <si>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</si>
  <si>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</si>
  <si>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</si>
  <si>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</si>
  <si>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</si>
  <si>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</si>
  <si>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</si>
  <si>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</si>
  <si>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</si>
  <si>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</si>
  <si>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</si>
  <si>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</si>
  <si>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</si>
  <si>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</si>
  <si>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</si>
  <si>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</si>
  <si>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</si>
  <si>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</si>
  <si>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</si>
  <si>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</si>
  <si>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</si>
  <si>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</si>
  <si>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</si>
  <si>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</si>
  <si>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</si>
  <si>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</si>
  <si>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</si>
  <si>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</si>
  <si>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</si>
  <si>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</si>
  <si>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</si>
  <si>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</si>
  <si>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</si>
  <si>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</si>
  <si>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</si>
  <si>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</si>
  <si>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</si>
  <si>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</si>
  <si>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</si>
  <si>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</si>
  <si>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</si>
  <si>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FLOYD &amp; ASSOCIATES, CPAs</t>
  </si>
  <si>
    <t>X</t>
  </si>
  <si>
    <t>MACON</t>
  </si>
  <si>
    <t>910 STATE HIGHWAY 54 EAST</t>
  </si>
  <si>
    <t>ONE COLLEGE PARK</t>
  </si>
  <si>
    <t>CLINTON</t>
  </si>
  <si>
    <t>IL</t>
  </si>
  <si>
    <t>DECATUR</t>
  </si>
  <si>
    <t>217-935-8871</t>
  </si>
  <si>
    <t>217-935-5711</t>
  </si>
  <si>
    <t>NealA@roe39.k12.il.us</t>
  </si>
  <si>
    <t>JULIE M. FLOYD, CPA</t>
  </si>
  <si>
    <t>julie.floyd@frontier.com</t>
  </si>
  <si>
    <t>TRS Employer Share of Net Pension Liability</t>
  </si>
  <si>
    <t>Pension obligations</t>
  </si>
  <si>
    <t>Page 13, Line 227</t>
  </si>
  <si>
    <t xml:space="preserve">   Education Fund</t>
  </si>
  <si>
    <t xml:space="preserve">      CTE Other - V.E. Perkins</t>
  </si>
  <si>
    <t>OK</t>
  </si>
  <si>
    <t>Heartland Region EFE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</si>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</sst>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55" fillId="0" borderId="0" xfId="0" applyNumberFormat="1" applyFo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1" fillId="0" borderId="158" xfId="17" applyFont="1" applyBorder="1" applyAlignment="1" applyProtection="1">
      <alignment horizontal="left" vertical="top"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285750</xdr:colOff>
          <xdr:row>5</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4" sqref="A14"/>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c r="C5" s="26" t="s">
        <v>966</v>
      </c>
      <c r="D5" s="84"/>
      <c r="E5" s="84"/>
      <c r="H5" s="38"/>
      <c r="I5" s="2041" t="s">
        <v>701</v>
      </c>
      <c r="J5" s="1986"/>
      <c r="K5" s="1986"/>
      <c r="L5" s="1986"/>
      <c r="M5" s="1986"/>
      <c r="N5" s="1986"/>
      <c r="O5" s="1986"/>
      <c r="P5" s="1986"/>
      <c r="Q5" s="1986"/>
      <c r="R5" s="1986"/>
      <c r="S5" s="1986"/>
    </row>
    <row r="6" spans="1:28" ht="14.1" customHeight="1" x14ac:dyDescent="0.2">
      <c r="B6" s="104" t="s">
        <v>2078</v>
      </c>
      <c r="C6" s="26" t="s">
        <v>967</v>
      </c>
      <c r="D6" s="84"/>
      <c r="E6" s="84"/>
      <c r="I6" s="2040" t="s">
        <v>938</v>
      </c>
      <c r="J6" s="1986"/>
      <c r="K6" s="1986"/>
      <c r="L6" s="1986"/>
      <c r="M6" s="1986"/>
      <c r="N6" s="1986"/>
      <c r="O6" s="1986"/>
      <c r="P6" s="1986"/>
      <c r="Q6" s="1986"/>
      <c r="R6" s="1986"/>
      <c r="S6" s="1986"/>
    </row>
    <row r="7" spans="1:28" ht="12.4"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t="s">
        <v>2078</v>
      </c>
      <c r="P12" s="100" t="s">
        <v>211</v>
      </c>
      <c r="Q12" s="74"/>
      <c r="R12" s="30"/>
      <c r="S12" s="30"/>
      <c r="T12" s="85" t="s">
        <v>283</v>
      </c>
      <c r="U12" s="51"/>
      <c r="V12" s="51"/>
      <c r="W12" s="51"/>
      <c r="X12" s="51"/>
      <c r="Y12" s="45"/>
      <c r="Z12" s="45"/>
      <c r="AA12" s="46"/>
    </row>
    <row r="13" spans="1:28" ht="13.5" customHeight="1" x14ac:dyDescent="0.2">
      <c r="A13" s="2002">
        <v>39000000046</v>
      </c>
      <c r="B13" s="2003"/>
      <c r="C13" s="2003"/>
      <c r="D13" s="2003"/>
      <c r="E13" s="2003"/>
      <c r="F13" s="2003"/>
      <c r="G13" s="2003"/>
      <c r="H13" s="2004"/>
      <c r="I13" s="31"/>
      <c r="J13" s="30"/>
      <c r="K13" s="28"/>
      <c r="L13" s="30"/>
      <c r="M13" s="30"/>
      <c r="N13" s="30"/>
      <c r="O13" s="30"/>
      <c r="P13" s="30"/>
      <c r="Q13" s="30"/>
      <c r="R13" s="30"/>
      <c r="S13" s="30"/>
      <c r="T13" s="2007" t="s">
        <v>2077</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2079</v>
      </c>
      <c r="B15" s="2005"/>
      <c r="C15" s="2005"/>
      <c r="D15" s="2005"/>
      <c r="E15" s="2005"/>
      <c r="F15" s="2005"/>
      <c r="G15" s="2005"/>
      <c r="H15" s="2006"/>
      <c r="T15" s="1968" t="s">
        <v>2088</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2096</v>
      </c>
      <c r="B17" s="2030"/>
      <c r="C17" s="2030"/>
      <c r="D17" s="2030"/>
      <c r="E17" s="2030"/>
      <c r="F17" s="2030"/>
      <c r="G17" s="2030"/>
      <c r="H17" s="2031"/>
      <c r="T17" s="2017" t="s">
        <v>2080</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2081</v>
      </c>
      <c r="B19" s="2001"/>
      <c r="C19" s="2001"/>
      <c r="D19" s="2001"/>
      <c r="E19" s="2001"/>
      <c r="F19" s="2001"/>
      <c r="G19" s="2001"/>
      <c r="H19" s="1999"/>
      <c r="I19" s="30"/>
      <c r="J19" s="99"/>
      <c r="K19" s="40"/>
      <c r="L19" s="38"/>
      <c r="M19" s="112" t="s">
        <v>333</v>
      </c>
      <c r="P19" s="27"/>
      <c r="Q19" s="27"/>
      <c r="R19" s="27"/>
      <c r="S19" s="31"/>
      <c r="T19" s="2000" t="s">
        <v>2082</v>
      </c>
      <c r="U19" s="1998"/>
      <c r="V19" s="1998"/>
      <c r="W19" s="1999"/>
      <c r="X19" s="2015" t="s">
        <v>2083</v>
      </c>
      <c r="Y19" s="2016"/>
      <c r="Z19" s="2013">
        <v>61727</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2084</v>
      </c>
      <c r="B21" s="1998"/>
      <c r="C21" s="1998"/>
      <c r="D21" s="1998"/>
      <c r="E21" s="1998"/>
      <c r="F21" s="1998"/>
      <c r="G21" s="1998"/>
      <c r="H21" s="1999"/>
      <c r="I21" s="2023" t="s">
        <v>699</v>
      </c>
      <c r="J21" s="1986"/>
      <c r="K21" s="1986"/>
      <c r="L21" s="1986"/>
      <c r="M21" s="1986"/>
      <c r="N21" s="1986"/>
      <c r="O21" s="1986"/>
      <c r="P21" s="1986"/>
      <c r="Q21" s="1986"/>
      <c r="R21" s="1986"/>
      <c r="S21" s="1987"/>
      <c r="T21" s="1965" t="s">
        <v>2085</v>
      </c>
      <c r="U21" s="1966"/>
      <c r="V21" s="1966"/>
      <c r="W21" s="1966"/>
      <c r="X21" s="1979" t="s">
        <v>2086</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2087</v>
      </c>
      <c r="B23" s="2021"/>
      <c r="C23" s="2021"/>
      <c r="D23" s="2021"/>
      <c r="E23" s="2021"/>
      <c r="F23" s="2021"/>
      <c r="G23" s="2021"/>
      <c r="H23" s="2022"/>
      <c r="T23" s="1960">
        <v>66.004384999999999</v>
      </c>
      <c r="U23" s="1961"/>
      <c r="V23" s="1961"/>
      <c r="W23" s="1961"/>
      <c r="X23" s="1976">
        <v>43434</v>
      </c>
      <c r="Y23" s="1977"/>
      <c r="Z23" s="1977"/>
      <c r="AA23" s="1978"/>
    </row>
    <row r="24" spans="1:27" ht="14.1" customHeight="1" x14ac:dyDescent="0.2">
      <c r="A24" s="88" t="s">
        <v>698</v>
      </c>
      <c r="B24" s="49"/>
      <c r="C24" s="49"/>
      <c r="D24" s="49"/>
      <c r="E24" s="49"/>
      <c r="F24" s="49"/>
      <c r="G24" s="49"/>
      <c r="H24" s="61"/>
      <c r="J24" s="2062" t="str">
        <f>IF(B5="x",IF(AUDITCHECK!D29="AFR form Incomplete.","",IF(AUDITCHECK!D29="Deficit reduction plan is required.","School District must complete a deficit reduction plan in the 2018-2019 Budget",)),"")</f>
        <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62521</v>
      </c>
      <c r="B25" s="1998"/>
      <c r="C25" s="1998"/>
      <c r="D25" s="1998"/>
      <c r="E25" s="1998"/>
      <c r="F25" s="1998"/>
      <c r="G25" s="1998"/>
      <c r="H25" s="1999"/>
      <c r="I25" s="113"/>
      <c r="J25" s="2064"/>
      <c r="K25" s="2064"/>
      <c r="L25" s="2064"/>
      <c r="M25" s="2064"/>
      <c r="N25" s="2064"/>
      <c r="O25" s="2064"/>
      <c r="P25" s="2064"/>
      <c r="Q25" s="2064"/>
      <c r="R25" s="2064"/>
      <c r="S25" s="2065"/>
      <c r="T25" s="1957" t="s">
        <v>2089</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2078</v>
      </c>
      <c r="M29" s="40" t="s">
        <v>101</v>
      </c>
      <c r="N29" s="32" t="s">
        <v>1604</v>
      </c>
      <c r="O29" s="32"/>
      <c r="P29" s="32"/>
      <c r="Q29" s="32"/>
      <c r="R29" s="32"/>
      <c r="S29" s="123"/>
      <c r="T29" s="6"/>
      <c r="U29" s="6"/>
      <c r="V29" s="6"/>
      <c r="W29" s="6"/>
      <c r="X29" s="6"/>
      <c r="Y29" s="6"/>
      <c r="Z29" s="6"/>
      <c r="AA29" s="132"/>
    </row>
    <row r="30" spans="1:27" ht="13.5" customHeight="1" x14ac:dyDescent="0.2">
      <c r="A30" s="153"/>
      <c r="B30" s="136" t="s">
        <v>2078</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6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workbookViewId="0">
      <selection activeCell="T25" sqref="T25:AA25"/>
    </sheetView>
  </sheetViews>
  <sheetFormatPr defaultColWidth="9.28515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908"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9" customHeight="1" x14ac:dyDescent="0.2">
      <c r="A4" s="716" t="s">
        <v>1217</v>
      </c>
      <c r="B4" s="1771">
        <f>'Revenues 9-14'!C5</f>
        <v>0</v>
      </c>
      <c r="C4" s="1546"/>
      <c r="D4" s="1774">
        <f>B4-C4</f>
        <v>0</v>
      </c>
      <c r="E4" s="1546"/>
      <c r="F4" s="1774">
        <f>E4-C4</f>
        <v>0</v>
      </c>
    </row>
    <row r="5" spans="1:6" ht="13.9" customHeight="1" x14ac:dyDescent="0.2">
      <c r="A5" s="716" t="s">
        <v>925</v>
      </c>
      <c r="B5" s="1772">
        <f>'Revenues 9-14'!D5</f>
        <v>0</v>
      </c>
      <c r="C5" s="585"/>
      <c r="D5" s="1775">
        <f t="shared" ref="D5:D18" si="0">B5-C5</f>
        <v>0</v>
      </c>
      <c r="E5" s="585"/>
      <c r="F5" s="1775">
        <f>E5-C5</f>
        <v>0</v>
      </c>
    </row>
    <row r="6" spans="1:6" ht="13.9" customHeight="1" x14ac:dyDescent="0.2">
      <c r="A6" s="716" t="s">
        <v>431</v>
      </c>
      <c r="B6" s="1772">
        <f>'Revenues 9-14'!E5</f>
        <v>0</v>
      </c>
      <c r="C6" s="585"/>
      <c r="D6" s="1775">
        <f t="shared" si="0"/>
        <v>0</v>
      </c>
      <c r="E6" s="585"/>
      <c r="F6" s="1775">
        <f t="shared" ref="F6:F18" si="1">E6-C6</f>
        <v>0</v>
      </c>
    </row>
    <row r="7" spans="1:6" ht="13.9" customHeight="1" x14ac:dyDescent="0.2">
      <c r="A7" s="716" t="s">
        <v>157</v>
      </c>
      <c r="B7" s="1772">
        <f>'Revenues 9-14'!F5</f>
        <v>0</v>
      </c>
      <c r="C7" s="585"/>
      <c r="D7" s="1775">
        <f t="shared" si="0"/>
        <v>0</v>
      </c>
      <c r="E7" s="585"/>
      <c r="F7" s="1775">
        <f t="shared" si="1"/>
        <v>0</v>
      </c>
    </row>
    <row r="8" spans="1:6" ht="13.9" customHeight="1" x14ac:dyDescent="0.2">
      <c r="A8" s="716" t="s">
        <v>1241</v>
      </c>
      <c r="B8" s="1772">
        <f>'Revenues 9-14'!G5</f>
        <v>0</v>
      </c>
      <c r="C8" s="585"/>
      <c r="D8" s="1775">
        <f t="shared" si="0"/>
        <v>0</v>
      </c>
      <c r="E8" s="585"/>
      <c r="F8" s="1775">
        <f t="shared" si="1"/>
        <v>0</v>
      </c>
    </row>
    <row r="9" spans="1:6" ht="13.9" customHeight="1" x14ac:dyDescent="0.2">
      <c r="A9" s="716" t="s">
        <v>428</v>
      </c>
      <c r="B9" s="1772">
        <f>'Revenues 9-14'!H5</f>
        <v>0</v>
      </c>
      <c r="C9" s="585"/>
      <c r="D9" s="1775">
        <f t="shared" si="0"/>
        <v>0</v>
      </c>
      <c r="E9" s="585"/>
      <c r="F9" s="1775">
        <f t="shared" si="1"/>
        <v>0</v>
      </c>
    </row>
    <row r="10" spans="1:6" ht="13.9"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9" customHeight="1" x14ac:dyDescent="0.2">
      <c r="A12" s="716" t="s">
        <v>159</v>
      </c>
      <c r="B12" s="1772">
        <f>'Revenues 9-14'!K5</f>
        <v>0</v>
      </c>
      <c r="C12" s="585"/>
      <c r="D12" s="1775">
        <f t="shared" si="0"/>
        <v>0</v>
      </c>
      <c r="E12" s="585"/>
      <c r="F12" s="1775">
        <f t="shared" si="1"/>
        <v>0</v>
      </c>
    </row>
    <row r="13" spans="1:6" ht="13.9" customHeight="1" x14ac:dyDescent="0.2">
      <c r="A13" s="716" t="s">
        <v>993</v>
      </c>
      <c r="B13" s="1772">
        <f>SUM('Revenues 9-14'!C6:D6)</f>
        <v>0</v>
      </c>
      <c r="C13" s="585"/>
      <c r="D13" s="1775">
        <f t="shared" si="0"/>
        <v>0</v>
      </c>
      <c r="E13" s="585"/>
      <c r="F13" s="1775">
        <f t="shared" si="1"/>
        <v>0</v>
      </c>
    </row>
    <row r="14" spans="1:6" ht="13.9" customHeight="1" x14ac:dyDescent="0.2">
      <c r="A14" s="716" t="s">
        <v>430</v>
      </c>
      <c r="B14" s="1772">
        <f>SUM('Revenues 9-14'!C7:D7,'Revenues 9-14'!F7:H7)</f>
        <v>0</v>
      </c>
      <c r="C14" s="585"/>
      <c r="D14" s="1775">
        <f t="shared" si="0"/>
        <v>0</v>
      </c>
      <c r="E14" s="585"/>
      <c r="F14" s="1775">
        <f t="shared" si="1"/>
        <v>0</v>
      </c>
    </row>
    <row r="15" spans="1:6" ht="13.9" customHeight="1" x14ac:dyDescent="0.2">
      <c r="A15" s="716" t="s">
        <v>1220</v>
      </c>
      <c r="B15" s="1772">
        <f>'Revenues 9-14'!E9</f>
        <v>0</v>
      </c>
      <c r="C15" s="585"/>
      <c r="D15" s="1775">
        <f t="shared" si="0"/>
        <v>0</v>
      </c>
      <c r="E15" s="585"/>
      <c r="F15" s="1775">
        <f t="shared" si="1"/>
        <v>0</v>
      </c>
    </row>
    <row r="16" spans="1:6" ht="13.9" customHeight="1" x14ac:dyDescent="0.2">
      <c r="A16" s="716" t="s">
        <v>1221</v>
      </c>
      <c r="B16" s="1772">
        <f>'Revenues 9-14'!G8</f>
        <v>0</v>
      </c>
      <c r="C16" s="585"/>
      <c r="D16" s="1775">
        <f t="shared" si="0"/>
        <v>0</v>
      </c>
      <c r="E16" s="585"/>
      <c r="F16" s="1775">
        <f t="shared" si="1"/>
        <v>0</v>
      </c>
    </row>
    <row r="17" spans="1:6" ht="13.9" customHeight="1" x14ac:dyDescent="0.2">
      <c r="A17" s="716" t="s">
        <v>1222</v>
      </c>
      <c r="B17" s="1772">
        <f>'Revenues 9-14'!C10</f>
        <v>0</v>
      </c>
      <c r="C17" s="585"/>
      <c r="D17" s="1775">
        <f t="shared" si="0"/>
        <v>0</v>
      </c>
      <c r="E17" s="585"/>
      <c r="F17" s="1775">
        <f t="shared" si="1"/>
        <v>0</v>
      </c>
    </row>
    <row r="18" spans="1:6" ht="13.9" customHeight="1" x14ac:dyDescent="0.2">
      <c r="A18" s="716" t="s">
        <v>786</v>
      </c>
      <c r="B18" s="1772">
        <f>SUM('Revenues 9-14'!C11:K11)</f>
        <v>0</v>
      </c>
      <c r="C18" s="585"/>
      <c r="D18" s="1775">
        <f t="shared" si="0"/>
        <v>0</v>
      </c>
      <c r="E18" s="585"/>
      <c r="F18" s="1775">
        <f t="shared" si="1"/>
        <v>0</v>
      </c>
    </row>
    <row r="19" spans="1:6" ht="13.9"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T25" sqref="T25:AA25"/>
    </sheetView>
  </sheetViews>
  <sheetFormatPr defaultColWidth="9.28515625" defaultRowHeight="12.75" x14ac:dyDescent="0.2"/>
  <cols>
    <col min="1" max="1" width="44" style="401" customWidth="1"/>
    <col min="2" max="2" width="12.28515625" style="723" customWidth="1"/>
    <col min="3" max="5" width="16.7109375" style="723"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205" t="s">
        <v>650</v>
      </c>
      <c r="B1" s="2206"/>
      <c r="C1" s="722"/>
    </row>
    <row r="2" spans="1:7" ht="33.75" x14ac:dyDescent="0.2">
      <c r="A2" s="2214" t="s">
        <v>1905</v>
      </c>
      <c r="B2" s="2215"/>
      <c r="C2" s="1909" t="s">
        <v>2038</v>
      </c>
      <c r="D2" s="724" t="s">
        <v>2045</v>
      </c>
      <c r="E2" s="724" t="s">
        <v>2046</v>
      </c>
      <c r="F2" s="1909" t="s">
        <v>2039</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0</v>
      </c>
      <c r="D15" s="1777">
        <f>SUM(D6:D14)</f>
        <v>0</v>
      </c>
      <c r="E15" s="1777">
        <f>SUM(E6:E14)</f>
        <v>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2090</v>
      </c>
      <c r="B31" s="734"/>
      <c r="C31" s="735"/>
      <c r="D31" s="736">
        <v>7</v>
      </c>
      <c r="E31" s="735"/>
      <c r="F31" s="735"/>
      <c r="G31" s="735">
        <v>898801</v>
      </c>
      <c r="H31" s="735"/>
      <c r="I31" s="1778">
        <f>((E31+F31)-H31)+G31</f>
        <v>898801</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898801</v>
      </c>
      <c r="H49" s="1778">
        <f t="shared" si="2"/>
        <v>0</v>
      </c>
      <c r="I49" s="1778">
        <f t="shared" si="2"/>
        <v>898801</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t="s">
        <v>2091</v>
      </c>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T25" sqref="T25:AA25"/>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0</v>
      </c>
      <c r="I12" s="1780">
        <f>SUM(I5:I11)</f>
        <v>0</v>
      </c>
      <c r="J12" s="1780">
        <f>SUM(J5:J11)</f>
        <v>0</v>
      </c>
      <c r="K12" s="1780">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0</v>
      </c>
      <c r="I23" s="1780">
        <f>SUM(I14:I16,I21,I22)</f>
        <v>0</v>
      </c>
      <c r="J23" s="1780">
        <f>SUM(J14:J16,J21,J22)</f>
        <v>0</v>
      </c>
      <c r="K23" s="1780">
        <f>SUM(K14:K16,K21,K22)</f>
        <v>0</v>
      </c>
    </row>
    <row r="24" spans="1:11" ht="14.25" thickTop="1" thickBot="1" x14ac:dyDescent="0.25">
      <c r="A24" s="2251" t="s">
        <v>2026</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25" sqref="T25:AA25"/>
    </sheetView>
  </sheetViews>
  <sheetFormatPr defaultColWidth="9.28515625" defaultRowHeight="12.75" x14ac:dyDescent="0.2"/>
  <cols>
    <col min="1" max="1" width="28.7109375" style="809"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316618</v>
      </c>
      <c r="D12" s="845">
        <v>16239</v>
      </c>
      <c r="E12" s="845"/>
      <c r="F12" s="1782">
        <f>(C12+D12)-E12</f>
        <v>332857</v>
      </c>
      <c r="G12" s="844">
        <v>10</v>
      </c>
      <c r="H12" s="766"/>
      <c r="I12" s="766"/>
      <c r="J12" s="766"/>
      <c r="K12" s="1791">
        <f>(H12+I12)-J12</f>
        <v>0</v>
      </c>
      <c r="L12" s="1791">
        <f>F12-K12</f>
        <v>332857</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316618</v>
      </c>
      <c r="D16" s="1782">
        <f>SUM(D3,D5:D6,D8:D10,D12:D15)</f>
        <v>16239</v>
      </c>
      <c r="E16" s="1782">
        <f>SUM(E3,E5:E6,E8:E10,E12:E15)</f>
        <v>0</v>
      </c>
      <c r="F16" s="1782">
        <f>SUM(F3,F5:F6,F8:F10,F12:F15)</f>
        <v>332857</v>
      </c>
      <c r="G16" s="844"/>
      <c r="H16" s="1782">
        <f>SUM(H3,H6,H8:H10,H12:H14,)</f>
        <v>0</v>
      </c>
      <c r="I16" s="1782">
        <f>SUM(I3,I6,I8:I10,I12:I14,)</f>
        <v>0</v>
      </c>
      <c r="J16" s="1782">
        <f>SUM(J3,J6,J8:J10,J12:J14,)</f>
        <v>0</v>
      </c>
      <c r="K16" s="1782">
        <f>(H16+I16)-J16</f>
        <v>0</v>
      </c>
      <c r="L16" s="1782">
        <f>F16-K16</f>
        <v>332857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T25" sqref="T25:AA25"/>
      <selection pane="bottomLeft" activeCell="T25" sqref="T25:AA25"/>
    </sheetView>
  </sheetViews>
  <sheetFormatPr defaultColWidth="8.7109375" defaultRowHeight="11.25" x14ac:dyDescent="0.2"/>
  <cols>
    <col min="1" max="1" width="22.28515625" style="857" customWidth="1"/>
    <col min="2" max="2" width="31.7109375" style="857" customWidth="1"/>
    <col min="3" max="3" width="6.7109375" style="864" customWidth="1"/>
    <col min="4" max="4" width="55.7109375" style="857" customWidth="1"/>
    <col min="5" max="5" width="3.28515625" style="864" customWidth="1"/>
    <col min="6" max="6" width="17.42578125" style="857" customWidth="1"/>
    <col min="7" max="7" width="0.71093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4"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1609637</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1609637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49616</v>
      </c>
      <c r="G53" s="866"/>
    </row>
    <row r="54" spans="1:7" x14ac:dyDescent="0.2">
      <c r="A54" s="870" t="s">
        <v>479</v>
      </c>
      <c r="B54" s="870" t="s">
        <v>1552</v>
      </c>
      <c r="C54" s="890" t="s">
        <v>1039</v>
      </c>
      <c r="D54" s="886" t="s">
        <v>1157</v>
      </c>
      <c r="E54" s="869"/>
      <c r="F54" s="1939">
        <f>'Expenditures 15-22'!G114</f>
        <v>16239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65855</v>
      </c>
      <c r="G76" s="866"/>
    </row>
    <row r="77" spans="1:8" s="894" customFormat="1" ht="12" customHeight="1" thickTop="1" thickBot="1" x14ac:dyDescent="0.25">
      <c r="A77" s="1801"/>
      <c r="B77" s="1798"/>
      <c r="C77" s="1794"/>
      <c r="D77" s="1799" t="s">
        <v>2012</v>
      </c>
      <c r="E77" s="1796"/>
      <c r="F77" s="1802">
        <f>(F14-F76)</f>
        <v>1543782</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606795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26282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250147</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883224</v>
      </c>
    </row>
    <row r="179" spans="1:7" ht="12" customHeight="1" x14ac:dyDescent="0.2">
      <c r="A179" s="1792"/>
      <c r="B179" s="1806"/>
      <c r="C179" s="1807"/>
      <c r="D179" s="1808" t="s">
        <v>2015</v>
      </c>
      <c r="E179" s="1809"/>
      <c r="F179" s="1811">
        <f>'PCTC-OEPP 27-28'!F77-F178</f>
        <v>660558</v>
      </c>
    </row>
    <row r="180" spans="1:7" ht="12" customHeight="1" x14ac:dyDescent="0.2">
      <c r="A180" s="1792"/>
      <c r="B180" s="1806"/>
      <c r="C180" s="1807"/>
      <c r="D180" s="1808" t="s">
        <v>1924</v>
      </c>
      <c r="E180" s="1809"/>
      <c r="F180" s="1811">
        <f>'Cap Outlay Deprec 26'!I18</f>
        <v>0</v>
      </c>
    </row>
    <row r="181" spans="1:7" ht="12" customHeight="1" x14ac:dyDescent="0.2">
      <c r="A181" s="1792"/>
      <c r="B181" s="1806"/>
      <c r="C181" s="1807"/>
      <c r="D181" s="1808" t="s">
        <v>2016</v>
      </c>
      <c r="E181" s="1809"/>
      <c r="F181" s="1811">
        <f>F179+F180</f>
        <v>660558</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4" customHeight="1" x14ac:dyDescent="0.2">
      <c r="A185" s="931" t="s">
        <v>2060</v>
      </c>
      <c r="B185" s="931"/>
      <c r="C185" s="950"/>
      <c r="D185" s="931"/>
      <c r="E185" s="950"/>
      <c r="F185" s="931"/>
      <c r="G185" s="931"/>
    </row>
    <row r="186" spans="1:7" s="1948" customFormat="1" ht="12.4" customHeight="1" x14ac:dyDescent="0.2">
      <c r="A186" s="1948" t="s">
        <v>2065</v>
      </c>
      <c r="B186" s="1949"/>
      <c r="C186" s="1950"/>
      <c r="D186" s="1949"/>
      <c r="E186" s="1950"/>
      <c r="F186" s="1949"/>
      <c r="G186" s="1949"/>
    </row>
    <row r="187" spans="1:7" s="1948" customFormat="1" ht="12.4"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T25" sqref="T25:AA25"/>
      <selection pane="bottomLeft" activeCell="A17" sqref="A17"/>
    </sheetView>
  </sheetViews>
  <sheetFormatPr defaultColWidth="9.28515625" defaultRowHeight="15" x14ac:dyDescent="0.25"/>
  <cols>
    <col min="1" max="1" width="52" style="1564" customWidth="1"/>
    <col min="2" max="2" width="16.42578125" style="1565" bestFit="1" customWidth="1"/>
    <col min="3" max="3" width="33.7109375" style="1565" customWidth="1"/>
    <col min="4" max="4" width="16.28515625" style="1566" customWidth="1"/>
    <col min="5" max="5" width="0.28515625" style="1566" hidden="1" customWidth="1"/>
    <col min="6" max="6" width="23.5703125" style="1566" customWidth="1"/>
    <col min="7" max="7" width="23.28515625" style="1565" customWidth="1"/>
    <col min="8" max="16384" width="9.28515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2503" t="s">
        <v>2097</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T25" sqref="T25:AA25"/>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988975</v>
      </c>
      <c r="F19" s="1822"/>
      <c r="G19" s="1824">
        <f>'Expenditures 15-22'!K33-SUM('Expenditures 15-22'!G33,'Expenditures 15-22'!I33)+'Expenditures 15-22'!D229</f>
        <v>988975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182629</v>
      </c>
      <c r="F21" s="1825"/>
      <c r="G21" s="1828">
        <f>'Expenditures 15-22'!K42-SUM('Expenditures 15-22'!G42,'Expenditures 15-22'!I42)+'Expenditures 15-22'!K120-SUM('Expenditures 15-22'!G120,'Expenditures 15-22'!I120)+'Expenditures 15-22'!K180-SUM('Expenditures 15-22'!G180,'Expenditures 15-22'!I180)+'Expenditures 15-22'!D238</f>
        <v>182629</v>
      </c>
      <c r="H21" s="988"/>
      <c r="I21" s="162"/>
    </row>
    <row r="22" spans="1:9" s="669" customFormat="1" ht="12" customHeight="1" x14ac:dyDescent="0.2">
      <c r="A22" s="995" t="s">
        <v>585</v>
      </c>
      <c r="B22" s="996"/>
      <c r="C22" s="994">
        <v>2200</v>
      </c>
      <c r="D22" s="1825"/>
      <c r="E22" s="1827">
        <f>'Expenditures 15-22'!K47-SUM('Expenditures 15-22'!G47,'Expenditures 15-22'!I47)+'Expenditures 15-22'!D243</f>
        <v>86735</v>
      </c>
      <c r="F22" s="1825"/>
      <c r="G22" s="1828">
        <f>'Expenditures 15-22'!K47-SUM('Expenditures 15-22'!G47,'Expenditures 15-22'!I47)+'Expenditures 15-22'!D243</f>
        <v>86735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62243</v>
      </c>
      <c r="F23" s="1825"/>
      <c r="G23" s="1827">
        <f>'Expenditures 15-22'!K53-SUM('Expenditures 15-22'!G53,'Expenditures 15-22'!I53)+'Expenditures 15-22'!D257+'Expenditures 15-22'!K330-SUM('Expenditures 15-22'!G330,'Expenditures 15-22'!I330)</f>
        <v>62243</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50000</v>
      </c>
      <c r="E27" s="1827">
        <f>E8</f>
        <v>0</v>
      </c>
      <c r="F27" s="1827">
        <f>'Expenditures 15-22'!K60-SUM('Expenditures 15-22'!G60,'Expenditures 15-22'!I60)+'Expenditures 15-22'!D264-E8</f>
        <v>50000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170540</v>
      </c>
      <c r="F28" s="1829">
        <f>'Expenditures 15-22'!K61-SUM('Expenditures 15-22'!G61,'Expenditures 15-22'!I61)+'Expenditures 15-22'!K124-SUM('Expenditures 15-22'!G124,'Expenditures 15-22'!I124)+'Expenditures 15-22'!D266-E9</f>
        <v>170540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2660</v>
      </c>
      <c r="F29" s="1825"/>
      <c r="G29" s="1828">
        <f>'Expenditures 15-22'!K62-SUM('Expenditures 15-22'!G62,'Expenditures 15-22'!I62)+'Expenditures 15-22'!K125-SUM('Expenditures 15-22'!G125,'Expenditures 15-22'!I125)+'Expenditures 15-22'!K182-SUM('Expenditures 15-22'!G182,'Expenditures 15-22'!I182)+'Expenditures 15-22'!D267</f>
        <v>2660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50000</v>
      </c>
      <c r="E41" s="1829">
        <f>SUM(E19:E40)</f>
        <v>1493782</v>
      </c>
      <c r="F41" s="1829">
        <f>SUM(F19:F39)</f>
        <v>220540</v>
      </c>
      <c r="G41" s="1829">
        <f>SUM(G19:G40)</f>
        <v>1323242</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50000</v>
      </c>
      <c r="F43" s="1830" t="s">
        <v>495</v>
      </c>
      <c r="G43" s="1831">
        <f>F41</f>
        <v>220540</v>
      </c>
    </row>
    <row r="44" spans="1:7" ht="12" customHeight="1" x14ac:dyDescent="0.2">
      <c r="A44" s="988"/>
      <c r="B44" s="162"/>
      <c r="C44" s="1002"/>
      <c r="D44" s="1830" t="s">
        <v>494</v>
      </c>
      <c r="E44" s="1831">
        <f>E41</f>
        <v>1493782</v>
      </c>
      <c r="F44" s="1830" t="s">
        <v>494</v>
      </c>
      <c r="G44" s="1831">
        <f>G41</f>
        <v>1323242</v>
      </c>
    </row>
    <row r="45" spans="1:7" ht="12" customHeight="1" x14ac:dyDescent="0.2">
      <c r="A45" s="988"/>
      <c r="B45" s="162"/>
      <c r="C45" s="162"/>
      <c r="D45" s="1832" t="s">
        <v>1063</v>
      </c>
      <c r="E45" s="1833">
        <f>(E43/E44)</f>
        <v>3.3472086288360688E-2</v>
      </c>
      <c r="F45" s="1832" t="s">
        <v>1063</v>
      </c>
      <c r="G45" s="1833">
        <f>(G43/G44)</f>
        <v>0.1666664147601119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T25" sqref="T25:AA25"/>
      <selection pane="bottomLeft" activeCell="T25" sqref="T25:AA25"/>
    </sheetView>
  </sheetViews>
  <sheetFormatPr defaultColWidth="9.28515625" defaultRowHeight="12.75" x14ac:dyDescent="0.2"/>
  <cols>
    <col min="1" max="1" width="54.5703125" style="1901" customWidth="1"/>
    <col min="2" max="2" width="4.28515625" style="1901" customWidth="1"/>
    <col min="3" max="4" width="9.7109375" style="1872" customWidth="1"/>
    <col min="5" max="5" width="12.5703125" style="1902" customWidth="1"/>
    <col min="6" max="6" width="67.5703125" style="1872" customWidth="1"/>
    <col min="7" max="7" width="9.28515625" style="1872" customWidth="1"/>
    <col min="8" max="8" width="5.5703125" style="1903" bestFit="1" customWidth="1"/>
    <col min="9" max="10" width="2" style="1903" bestFit="1" customWidth="1"/>
    <col min="11" max="11" width="9" style="1903" customWidth="1"/>
    <col min="12" max="16384" width="9.28515625" style="1872"/>
  </cols>
  <sheetData>
    <row r="1" spans="1:10" x14ac:dyDescent="0.2">
      <c r="A1" s="2309" t="s">
        <v>1446</v>
      </c>
      <c r="B1" s="2309"/>
      <c r="C1" s="2309"/>
      <c r="D1" s="2309"/>
      <c r="E1" s="2309"/>
      <c r="F1" s="230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0" t="s">
        <v>1627</v>
      </c>
      <c r="B5" s="2311"/>
      <c r="C5" s="2312"/>
      <c r="D5" s="2312"/>
      <c r="E5" s="2312"/>
      <c r="F5" s="2312"/>
    </row>
    <row r="6" spans="1:10" ht="12" customHeight="1" x14ac:dyDescent="0.25">
      <c r="A6" s="1875"/>
      <c r="B6" s="1876"/>
      <c r="C6" s="2313" t="str">
        <f>COVER!A17</f>
        <v>Heartland Region EFE</v>
      </c>
      <c r="D6" s="2313"/>
      <c r="E6" s="2313"/>
      <c r="F6" s="1877"/>
    </row>
    <row r="7" spans="1:10" ht="11.25" customHeight="1" thickBot="1" x14ac:dyDescent="0.3">
      <c r="A7" s="1875"/>
      <c r="B7" s="1876"/>
      <c r="C7" s="2314">
        <f>COVER!A13</f>
        <v>39000000046</v>
      </c>
      <c r="D7" s="2314"/>
      <c r="E7" s="2314"/>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2078</v>
      </c>
      <c r="D13" s="1890" t="s">
        <v>2078</v>
      </c>
      <c r="E13" s="1893"/>
      <c r="F13" s="1892"/>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25" sqref="T25:AA25"/>
    </sheetView>
  </sheetViews>
  <sheetFormatPr defaultColWidth="9.28515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28515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4" customHeight="1" x14ac:dyDescent="0.2">
      <c r="F5" s="1015"/>
    </row>
    <row r="6" spans="1:17" x14ac:dyDescent="0.2">
      <c r="A6" s="1919" t="s">
        <v>693</v>
      </c>
      <c r="B6" s="1664"/>
      <c r="C6" s="1664"/>
      <c r="D6" s="1664"/>
      <c r="E6" s="1665"/>
      <c r="F6" s="1016"/>
      <c r="G6" s="1010"/>
      <c r="H6" s="1017" t="s">
        <v>1086</v>
      </c>
      <c r="I6" s="2333" t="str">
        <f>COVER!A17</f>
        <v>Heartland Region EFE</v>
      </c>
      <c r="J6" s="2334"/>
      <c r="Q6" s="1686"/>
    </row>
    <row r="7" spans="1:17" x14ac:dyDescent="0.2">
      <c r="A7" s="2335" t="s">
        <v>924</v>
      </c>
      <c r="B7" s="2336"/>
      <c r="C7" s="2336"/>
      <c r="D7" s="2336"/>
      <c r="E7" s="2337"/>
      <c r="F7" s="1018"/>
      <c r="G7" s="1010"/>
      <c r="H7" s="1017" t="s">
        <v>390</v>
      </c>
      <c r="I7" s="2338">
        <f>COVER!A13</f>
        <v>39000000046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47505</v>
      </c>
      <c r="F12" s="1040"/>
      <c r="G12" s="1834">
        <f t="shared" ref="G12:G18" si="0">SUM(E12:F12)</f>
        <v>47505</v>
      </c>
      <c r="H12" s="1041"/>
      <c r="I12" s="1040"/>
      <c r="J12" s="1834">
        <f t="shared" ref="J12:J18" si="1">SUM(H12:I12)</f>
        <v>0</v>
      </c>
    </row>
    <row r="13" spans="1:17" ht="15" customHeight="1" x14ac:dyDescent="0.2">
      <c r="A13" s="1036">
        <v>2</v>
      </c>
      <c r="B13" s="1037" t="s">
        <v>44</v>
      </c>
      <c r="C13" s="1038"/>
      <c r="D13" s="1039">
        <v>2330</v>
      </c>
      <c r="E13" s="1834">
        <f>'Expenditures 15-22'!K51</f>
        <v>14738</v>
      </c>
      <c r="F13" s="1040"/>
      <c r="G13" s="1834">
        <f t="shared" si="0"/>
        <v>14738</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62243</v>
      </c>
      <c r="F19" s="1836">
        <f t="shared" si="2"/>
        <v>0</v>
      </c>
      <c r="G19" s="1836">
        <f t="shared" si="2"/>
        <v>62243</v>
      </c>
      <c r="H19" s="1836">
        <f t="shared" si="2"/>
        <v>0</v>
      </c>
      <c r="I19" s="1836">
        <f t="shared" si="2"/>
        <v>0</v>
      </c>
      <c r="J19" s="1836">
        <f t="shared" si="2"/>
        <v>0</v>
      </c>
    </row>
    <row r="20" spans="1:10" ht="13.5" thickTop="1" x14ac:dyDescent="0.2">
      <c r="A20" s="1036">
        <v>9</v>
      </c>
      <c r="B20" s="2345" t="s">
        <v>1703</v>
      </c>
      <c r="C20" s="2345"/>
      <c r="D20" s="2346"/>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1"/>
  <sheetViews>
    <sheetView showGridLines="0" zoomScale="110" zoomScaleNormal="110" workbookViewId="0">
      <selection activeCell="T25" sqref="T25:AA25"/>
    </sheetView>
  </sheetViews>
  <sheetFormatPr defaultColWidth="9.28515625" defaultRowHeight="12.75" x14ac:dyDescent="0.2"/>
  <cols>
    <col min="1" max="1" width="3" style="329" customWidth="1"/>
    <col min="2" max="2" width="42.7109375" style="329" customWidth="1"/>
    <col min="3" max="3" width="2.42578125" style="329" customWidth="1"/>
    <col min="4" max="16384" width="9.28515625" style="329"/>
  </cols>
  <sheetData>
    <row r="2" spans="1:4" x14ac:dyDescent="0.2">
      <c r="A2" s="389" t="s">
        <v>276</v>
      </c>
    </row>
    <row r="3" spans="1:4" x14ac:dyDescent="0.2">
      <c r="A3" s="329" t="s">
        <v>277</v>
      </c>
    </row>
    <row r="5" spans="1:4" x14ac:dyDescent="0.2">
      <c r="A5" s="1069">
        <v>1</v>
      </c>
      <c r="B5" s="329" t="s">
        <v>2092</v>
      </c>
    </row>
    <row r="6" spans="1:4" x14ac:dyDescent="0.2">
      <c r="A6" s="1069">
        <v>2</v>
      </c>
      <c r="B6" s="329" t="s">
        <v>2093</v>
      </c>
    </row>
    <row r="7" spans="1:4" x14ac:dyDescent="0.2">
      <c r="A7" s="1069">
        <v>3</v>
      </c>
      <c r="B7" s="329" t="s">
        <v>2094</v>
      </c>
      <c r="C7" s="329" t="s">
        <v>1015</v>
      </c>
      <c r="D7" s="1956">
        <v>250147</v>
      </c>
    </row>
    <row r="8" spans="1:4" x14ac:dyDescent="0.2">
      <c r="A8" s="1069">
        <v>4</v>
      </c>
    </row>
    <row r="9" spans="1:4" x14ac:dyDescent="0.2">
      <c r="A9" s="1070"/>
    </row>
    <row r="10" spans="1:4" x14ac:dyDescent="0.2">
      <c r="A10" s="1070"/>
    </row>
    <row r="11" spans="1:4" x14ac:dyDescent="0.2">
      <c r="A11" s="1070"/>
    </row>
    <row r="12" spans="1:4" x14ac:dyDescent="0.2">
      <c r="A12" s="1070"/>
    </row>
    <row r="13" spans="1:4" x14ac:dyDescent="0.2">
      <c r="A13" s="1070"/>
    </row>
    <row r="14" spans="1:4" x14ac:dyDescent="0.2">
      <c r="A14" s="1070"/>
    </row>
    <row r="15" spans="1:4" x14ac:dyDescent="0.2">
      <c r="A15" s="1070"/>
    </row>
    <row r="16" spans="1:4"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c r="B60" s="258" t="str">
        <f>COVER!A17</f>
        <v>Heartland Region EFE</v>
      </c>
    </row>
    <row r="61" spans="1:2" x14ac:dyDescent="0.2">
      <c r="B61" s="1071">
        <f>COVER!A13</f>
        <v>39000000046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T25" sqref="T25:AA25"/>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4" customHeight="1" x14ac:dyDescent="0.2">
      <c r="A76" s="189" t="s">
        <v>1719</v>
      </c>
      <c r="B76" s="198" t="s">
        <v>1888</v>
      </c>
    </row>
    <row r="77" spans="1:9" ht="12.4"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4"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5" sqref="T25:AA25"/>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3" sqref="C3"/>
    </sheetView>
  </sheetViews>
  <sheetFormatPr defaultColWidth="9.28515625" defaultRowHeight="12.75" x14ac:dyDescent="0.2"/>
  <cols>
    <col min="1" max="1" width="1.7109375" style="329" customWidth="1"/>
    <col min="2" max="2" width="17.85546875" style="329" customWidth="1"/>
    <col min="3" max="16384" width="9.28515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2</xdr:row>
                <xdr:rowOff>0</xdr:rowOff>
              </from>
              <to>
                <xdr:col>3</xdr:col>
                <xdr:colOff>285750</xdr:colOff>
                <xdr:row>5</xdr:row>
                <xdr:rowOff>161925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T25" sqref="T25:AA25"/>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1598424</v>
      </c>
      <c r="C8" s="1838">
        <f>'Acct Summary 7-8'!D8</f>
        <v>0</v>
      </c>
      <c r="D8" s="1838">
        <f>'Acct Summary 7-8'!F8</f>
        <v>0</v>
      </c>
      <c r="E8" s="1838">
        <f>'Acct Summary 7-8'!I8</f>
        <v>0</v>
      </c>
      <c r="F8" s="1838">
        <f>SUM(B8:E8)</f>
        <v>1598424</v>
      </c>
    </row>
    <row r="9" spans="1:8" s="1080" customFormat="1" ht="14.25" customHeight="1" thickBot="1" x14ac:dyDescent="0.25">
      <c r="A9" s="1079" t="s">
        <v>1436</v>
      </c>
      <c r="B9" s="1839">
        <f>'Acct Summary 7-8'!C17</f>
        <v>1609637</v>
      </c>
      <c r="C9" s="1839">
        <f>'Acct Summary 7-8'!D17</f>
        <v>0</v>
      </c>
      <c r="D9" s="1839">
        <f>'Acct Summary 7-8'!F17</f>
        <v>0</v>
      </c>
      <c r="E9" s="1838"/>
      <c r="F9" s="1838">
        <f>SUM(B9:E9)</f>
        <v>1609637</v>
      </c>
    </row>
    <row r="10" spans="1:8" s="1080" customFormat="1" ht="14.25" thickTop="1" thickBot="1" x14ac:dyDescent="0.25">
      <c r="A10" s="1081" t="s">
        <v>1437</v>
      </c>
      <c r="B10" s="1840">
        <f>(B8-B9)</f>
        <v>-11213</v>
      </c>
      <c r="C10" s="1840">
        <f>(C8-C9)</f>
        <v>0</v>
      </c>
      <c r="D10" s="1840">
        <f>(D8-D9)</f>
        <v>0</v>
      </c>
      <c r="E10" s="1839">
        <f>(E8-E9)</f>
        <v>0</v>
      </c>
      <c r="F10" s="1841">
        <f>SUM(F8-F9)</f>
        <v>-11213</v>
      </c>
    </row>
    <row r="11" spans="1:8" s="1080" customFormat="1" ht="14.25" thickTop="1" thickBot="1" x14ac:dyDescent="0.25">
      <c r="A11" s="1082" t="s">
        <v>1785</v>
      </c>
      <c r="B11" s="1842">
        <f>'Acct Summary 7-8'!C81</f>
        <v>199028</v>
      </c>
      <c r="C11" s="1842">
        <f>'Acct Summary 7-8'!D81</f>
        <v>0</v>
      </c>
      <c r="D11" s="1842">
        <f>'Acct Summary 7-8'!F81</f>
        <v>0</v>
      </c>
      <c r="E11" s="1842">
        <f>'Acct Summary 7-8'!I81</f>
        <v>0</v>
      </c>
      <c r="F11" s="1843">
        <f>SUM(B11:E11)</f>
        <v>199028</v>
      </c>
    </row>
    <row r="12" spans="1:8" ht="16.5" customHeight="1" thickTop="1" x14ac:dyDescent="0.2">
      <c r="A12" s="1083"/>
      <c r="B12" s="1084"/>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5" colorId="8" zoomScale="110" zoomScaleNormal="110" workbookViewId="0">
      <selection activeCell="D55" sqref="D55"/>
    </sheetView>
  </sheetViews>
  <sheetFormatPr defaultColWidth="9.28515625" defaultRowHeight="12" x14ac:dyDescent="0.2"/>
  <cols>
    <col min="1" max="1" width="2.7109375" style="1134" customWidth="1"/>
    <col min="2" max="2" width="3.28515625" style="1134" customWidth="1"/>
    <col min="3" max="3" width="96.28515625" style="1074" customWidth="1"/>
    <col min="4" max="4" width="42.28515625" style="242" customWidth="1"/>
    <col min="5" max="5" width="2.7109375" style="1093" customWidth="1"/>
    <col min="6" max="6" width="1" style="1093" customWidth="1"/>
    <col min="7" max="16384" width="9.28515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4" customHeight="1" x14ac:dyDescent="0.2">
      <c r="A23" s="1140"/>
      <c r="B23" s="1141"/>
      <c r="C23" s="1142" t="s">
        <v>1011</v>
      </c>
      <c r="D23" s="1143" t="str">
        <f>IF(COVER!O11="X","CASH",IF(COVER!O12="X","ACCRUAL ","PLEASE CHECK AN ACCOUNTING BASIS."))</f>
        <v xml:space="preserve">ACCRUAL </v>
      </c>
    </row>
    <row r="24" spans="1:10" ht="12.4"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
        <v>2095</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RpO9r/jsRUyMWB6qqIXtwHL12V6ccK3I2q3CNKQTFzmn/hL9Sv6Mm10WfRrBF2xfnT+wE7AHMzUSZZIkrebUeQ==" saltValue="IASWuWgg+6mIPMCCpMt/Cg=="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39000000046</v>
      </c>
    </row>
    <row r="3" spans="1:2" x14ac:dyDescent="0.2">
      <c r="A3" t="s">
        <v>1013</v>
      </c>
      <c r="B3" s="138" t="str">
        <f>COVER!A15</f>
        <v>MACON</v>
      </c>
    </row>
    <row r="4" spans="1:2" x14ac:dyDescent="0.2">
      <c r="A4" t="s">
        <v>1064</v>
      </c>
      <c r="B4" s="138" t="str">
        <f>COVER!A17</f>
        <v>Heartland Region EFE</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f>IF(COVER!J31="x","Yes",IF(COVER!L31="x","No",0))</f>
        <v>0</v>
      </c>
    </row>
    <row r="15" spans="1:2" x14ac:dyDescent="0.2">
      <c r="A15" t="s">
        <v>598</v>
      </c>
      <c r="B15" s="138">
        <f>COVER!T23</f>
        <v>66.004384999999999</v>
      </c>
    </row>
    <row r="16" spans="1:2" x14ac:dyDescent="0.2">
      <c r="A16" t="s">
        <v>442</v>
      </c>
      <c r="B16" s="138" t="str">
        <f>COVER!T13</f>
        <v>FLOYD &amp; ASSOCIATES, CPAs</v>
      </c>
    </row>
    <row r="17" spans="1:2" x14ac:dyDescent="0.2">
      <c r="A17" t="s">
        <v>939</v>
      </c>
      <c r="B17" s="138" t="str">
        <f>COVER!T15</f>
        <v>JULIE M. FLOYD, CPA</v>
      </c>
    </row>
    <row r="18" spans="1:2" x14ac:dyDescent="0.2">
      <c r="A18" t="s">
        <v>1212</v>
      </c>
      <c r="B18" s="138" t="str">
        <f>COVER!T17</f>
        <v>910 STATE HIGHWAY 54 EAST</v>
      </c>
    </row>
    <row r="19" spans="1:2" x14ac:dyDescent="0.2">
      <c r="A19" t="s">
        <v>941</v>
      </c>
      <c r="B19" s="138" t="str">
        <f>COVER!T25</f>
        <v>julie.floyd@frontier.com</v>
      </c>
    </row>
    <row r="20" spans="1:2" x14ac:dyDescent="0.2">
      <c r="A20" t="s">
        <v>942</v>
      </c>
      <c r="B20" s="138" t="str">
        <f>COVER!T19</f>
        <v>CLINTON</v>
      </c>
    </row>
    <row r="21" spans="1:2" x14ac:dyDescent="0.2">
      <c r="A21" t="s">
        <v>500</v>
      </c>
      <c r="B21" s="138" t="str">
        <f>COVER!X19</f>
        <v>IL</v>
      </c>
    </row>
    <row r="22" spans="1:2" x14ac:dyDescent="0.2">
      <c r="A22" t="s">
        <v>943</v>
      </c>
      <c r="B22" s="138">
        <f>COVER!Z19</f>
        <v>61727</v>
      </c>
    </row>
    <row r="23" spans="1:2" x14ac:dyDescent="0.2">
      <c r="A23" t="s">
        <v>1214</v>
      </c>
      <c r="B23" s="138" t="str">
        <f>COVER!T21</f>
        <v>217-935-8871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414192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689</v>
      </c>
      <c r="D86" s="2" t="str">
        <f t="shared" si="0"/>
        <v>Error?</v>
      </c>
    </row>
    <row r="87" spans="1:4" x14ac:dyDescent="0.2">
      <c r="A87" s="10">
        <v>26</v>
      </c>
      <c r="D87" s="2" t="str">
        <f t="shared" si="0"/>
        <v>OK</v>
      </c>
    </row>
    <row r="88" spans="1:4" x14ac:dyDescent="0.2">
      <c r="A88" s="5">
        <v>27</v>
      </c>
      <c r="B88" s="138">
        <f>'Assets-Liab 5-6'!C32</f>
        <v>54900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215164</v>
      </c>
      <c r="C91" s="2" t="s">
        <v>594</v>
      </c>
      <c r="D91" s="2" t="str">
        <f t="shared" si="0"/>
        <v>Error?</v>
      </c>
    </row>
    <row r="92" spans="1:4" x14ac:dyDescent="0.2">
      <c r="A92" s="5">
        <v>31</v>
      </c>
      <c r="B92" s="138">
        <f>'Assets-Liab 5-6'!C39</f>
        <v>199028</v>
      </c>
      <c r="D92" s="2" t="str">
        <f t="shared" si="0"/>
        <v>Error?</v>
      </c>
    </row>
    <row r="93" spans="1:4" x14ac:dyDescent="0.2">
      <c r="A93" s="5">
        <v>32</v>
      </c>
      <c r="B93" s="138">
        <f>'Assets-Liab 5-6'!C41</f>
        <v>414192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336551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336551</v>
      </c>
      <c r="C279" s="2" t="s">
        <v>594</v>
      </c>
      <c r="D279" s="2" t="str">
        <f t="shared" si="3"/>
        <v>Error?</v>
      </c>
    </row>
    <row r="280" spans="1:4" x14ac:dyDescent="0.2">
      <c r="A280" s="5">
        <v>219</v>
      </c>
      <c r="B280" s="138">
        <f>'Assets-Liab 5-6'!M40</f>
        <v>336551</v>
      </c>
      <c r="D280" s="2" t="str">
        <f t="shared" si="3"/>
        <v>Error?</v>
      </c>
    </row>
    <row r="281" spans="1:4" x14ac:dyDescent="0.2">
      <c r="A281" s="5">
        <v>220</v>
      </c>
      <c r="B281" s="138">
        <f>'Assets-Liab 5-6'!M41</f>
        <v>336551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898801</v>
      </c>
      <c r="D285" s="2" t="str">
        <f t="shared" si="3"/>
        <v>Error?</v>
      </c>
    </row>
    <row r="286" spans="1:4" x14ac:dyDescent="0.2">
      <c r="A286" s="10">
        <v>225</v>
      </c>
      <c r="D286" s="2" t="str">
        <f t="shared" si="3"/>
        <v>OK</v>
      </c>
    </row>
    <row r="287" spans="1:4" x14ac:dyDescent="0.2">
      <c r="A287" s="5">
        <v>226</v>
      </c>
      <c r="B287" s="138">
        <f>'Assets-Liab 5-6'!N37</f>
        <v>898801</v>
      </c>
      <c r="C287" s="2" t="s">
        <v>594</v>
      </c>
      <c r="D287" s="2" t="str">
        <f t="shared" si="3"/>
        <v>Error?</v>
      </c>
    </row>
    <row r="288" spans="1:4" x14ac:dyDescent="0.2">
      <c r="A288" s="5">
        <v>227</v>
      </c>
      <c r="B288" s="138">
        <f>'Assets-Liab 5-6'!N41</f>
        <v>898801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702340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702340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132199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132199</v>
      </c>
      <c r="C727" s="2" t="s">
        <v>594</v>
      </c>
      <c r="D727" s="2" t="str">
        <f t="shared" si="10"/>
        <v>Error?</v>
      </c>
    </row>
    <row r="728" spans="1:4" x14ac:dyDescent="0.2">
      <c r="A728" s="5">
        <v>667</v>
      </c>
      <c r="B728" s="138">
        <f>'Expenditures 15-22'!C44</f>
        <v>35784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35784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36937</v>
      </c>
      <c r="D733" s="2" t="str">
        <f t="shared" si="10"/>
        <v>Error?</v>
      </c>
    </row>
    <row r="734" spans="1:4" x14ac:dyDescent="0.2">
      <c r="A734" s="5">
        <v>673</v>
      </c>
      <c r="B734" s="138">
        <f>'Expenditures 15-22'!C53</f>
        <v>36937</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204920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907260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127370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127370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32707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32707</v>
      </c>
      <c r="C785" s="2" t="s">
        <v>594</v>
      </c>
      <c r="D785" s="2" t="str">
        <f t="shared" si="11"/>
        <v>Error?</v>
      </c>
    </row>
    <row r="786" spans="1:4" x14ac:dyDescent="0.2">
      <c r="A786" s="5">
        <v>725</v>
      </c>
      <c r="B786" s="138">
        <f>'Expenditures 15-22'!D44</f>
        <v>14719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14719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10071</v>
      </c>
      <c r="D791" s="2" t="str">
        <f t="shared" si="11"/>
        <v>Error?</v>
      </c>
    </row>
    <row r="792" spans="1:4" x14ac:dyDescent="0.2">
      <c r="A792" s="5">
        <v>731</v>
      </c>
      <c r="B792" s="138">
        <f>'Expenditures 15-22'!D53</f>
        <v>10071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57497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184867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53829</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53829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17253</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17253</v>
      </c>
      <c r="C843" s="2" t="s">
        <v>594</v>
      </c>
      <c r="D843" s="2" t="str">
        <f t="shared" si="12"/>
        <v>Error?</v>
      </c>
    </row>
    <row r="844" spans="1:4" x14ac:dyDescent="0.2">
      <c r="A844" s="5">
        <v>783</v>
      </c>
      <c r="B844" s="138">
        <f>'Expenditures 15-22'!E44</f>
        <v>32759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32759</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497</v>
      </c>
      <c r="D849" s="2" t="str">
        <f t="shared" si="12"/>
        <v>Error?</v>
      </c>
    </row>
    <row r="850" spans="1:4" x14ac:dyDescent="0.2">
      <c r="A850" s="5">
        <v>789</v>
      </c>
      <c r="B850" s="138">
        <f>'Expenditures 15-22'!E53</f>
        <v>14430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50000</v>
      </c>
      <c r="D855" s="2" t="str">
        <f t="shared" si="12"/>
        <v>Error?</v>
      </c>
    </row>
    <row r="856" spans="1:4" x14ac:dyDescent="0.2">
      <c r="A856" s="5">
        <v>795</v>
      </c>
      <c r="B856" s="138">
        <f>'Expenditures 15-22'!E61</f>
        <v>170540</v>
      </c>
      <c r="D856" s="2" t="str">
        <f t="shared" si="12"/>
        <v>Error?</v>
      </c>
    </row>
    <row r="857" spans="1:4" x14ac:dyDescent="0.2">
      <c r="A857" s="5">
        <v>796</v>
      </c>
      <c r="B857" s="138">
        <f>'Expenditures 15-22'!E62</f>
        <v>2660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223200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287642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341471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81905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81905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470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470</v>
      </c>
      <c r="C901" s="2" t="s">
        <v>594</v>
      </c>
      <c r="D901" s="2" t="str">
        <f t="shared" si="13"/>
        <v>Error?</v>
      </c>
    </row>
    <row r="902" spans="1:4" x14ac:dyDescent="0.2">
      <c r="A902" s="5">
        <v>841</v>
      </c>
      <c r="B902" s="138">
        <f>'Expenditures 15-22'!F44</f>
        <v>3473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3473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3943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85848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16239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16239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16239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23531</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23531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805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805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49616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73952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1005214</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1005214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182629</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182629</v>
      </c>
      <c r="C1115" s="2" t="s">
        <v>594</v>
      </c>
      <c r="D1115" s="2" t="str">
        <f t="shared" si="16"/>
        <v>Error?</v>
      </c>
    </row>
    <row r="1116" spans="1:4" x14ac:dyDescent="0.2">
      <c r="A1116" s="5">
        <v>1055</v>
      </c>
      <c r="B1116" s="138">
        <f>'Expenditures 15-22'!K44</f>
        <v>86735</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86735</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47505</v>
      </c>
      <c r="C1121" s="2" t="s">
        <v>594</v>
      </c>
      <c r="D1121" s="2" t="str">
        <f t="shared" si="16"/>
        <v>Error?</v>
      </c>
    </row>
    <row r="1122" spans="1:4" x14ac:dyDescent="0.2">
      <c r="A1122" s="5">
        <v>1061</v>
      </c>
      <c r="B1122" s="138">
        <f>'Expenditures 15-22'!K53</f>
        <v>62243</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50000</v>
      </c>
      <c r="C1127" s="2" t="s">
        <v>594</v>
      </c>
      <c r="D1127" s="2" t="str">
        <f t="shared" si="16"/>
        <v>Error?</v>
      </c>
    </row>
    <row r="1128" spans="1:4" x14ac:dyDescent="0.2">
      <c r="A1128" s="5">
        <v>1067</v>
      </c>
      <c r="B1128" s="138">
        <f>'Expenditures 15-22'!K61</f>
        <v>170540</v>
      </c>
      <c r="C1128" s="2" t="s">
        <v>594</v>
      </c>
      <c r="D1128" s="2" t="str">
        <f t="shared" si="16"/>
        <v>Error?</v>
      </c>
    </row>
    <row r="1129" spans="1:4" x14ac:dyDescent="0.2">
      <c r="A1129" s="5">
        <v>1068</v>
      </c>
      <c r="B1129" s="138">
        <f>'Expenditures 15-22'!K62</f>
        <v>2660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223200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554807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49616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1609637</v>
      </c>
      <c r="C1152" s="2" t="s">
        <v>594</v>
      </c>
      <c r="D1152" s="2" t="str">
        <f t="shared" si="17"/>
        <v>Error?</v>
      </c>
    </row>
    <row r="1153" spans="1:4" x14ac:dyDescent="0.2">
      <c r="A1153" s="5">
        <v>1092</v>
      </c>
      <c r="B1153" s="138">
        <f>'Expenditures 15-22'!K115</f>
        <v>-11213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210241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199028</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316618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316618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16239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16239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332857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332857</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332857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332857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49616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49616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715200</v>
      </c>
      <c r="C2551" s="2" t="s">
        <v>594</v>
      </c>
      <c r="D2551" s="2" t="str">
        <f t="shared" si="38"/>
        <v>Error?</v>
      </c>
    </row>
    <row r="2552" spans="1:4" x14ac:dyDescent="0.2">
      <c r="A2552" s="10">
        <v>2491</v>
      </c>
      <c r="D2552" s="2" t="str">
        <f t="shared" si="38"/>
        <v>OK</v>
      </c>
    </row>
    <row r="2553" spans="1:4" x14ac:dyDescent="0.2">
      <c r="A2553" s="5">
        <v>2492</v>
      </c>
      <c r="B2553" s="138">
        <f>'Acct Summary 7-8'!C6</f>
        <v>633077</v>
      </c>
      <c r="C2553" s="2" t="s">
        <v>594</v>
      </c>
      <c r="D2553" s="2" t="str">
        <f t="shared" si="38"/>
        <v>Error?</v>
      </c>
    </row>
    <row r="2554" spans="1:4" x14ac:dyDescent="0.2">
      <c r="A2554" s="5">
        <v>2493</v>
      </c>
      <c r="B2554" s="138">
        <f>'Acct Summary 7-8'!C7</f>
        <v>250147</v>
      </c>
      <c r="C2554" s="2" t="s">
        <v>594</v>
      </c>
      <c r="D2554" s="2" t="str">
        <f t="shared" si="38"/>
        <v>Error?</v>
      </c>
    </row>
    <row r="2555" spans="1:4" x14ac:dyDescent="0.2">
      <c r="A2555" s="5">
        <v>2494</v>
      </c>
      <c r="B2555" s="138">
        <f>'Acct Summary 7-8'!C8</f>
        <v>1598424</v>
      </c>
      <c r="C2555" s="2" t="s">
        <v>594</v>
      </c>
      <c r="D2555" s="2" t="str">
        <f t="shared" si="38"/>
        <v>Error?</v>
      </c>
    </row>
    <row r="2556" spans="1:4" x14ac:dyDescent="0.2">
      <c r="A2556" s="5">
        <v>2495</v>
      </c>
      <c r="B2556" s="138">
        <f>'Acct Summary 7-8'!C12</f>
        <v>1005214</v>
      </c>
      <c r="C2556" s="2" t="s">
        <v>594</v>
      </c>
      <c r="D2556" s="2" t="str">
        <f t="shared" si="38"/>
        <v>Error?</v>
      </c>
    </row>
    <row r="2557" spans="1:4" x14ac:dyDescent="0.2">
      <c r="A2557" s="5">
        <v>2496</v>
      </c>
      <c r="B2557" s="138">
        <f>'Acct Summary 7-8'!C13</f>
        <v>554807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49616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1609637</v>
      </c>
      <c r="C2561" s="2" t="s">
        <v>594</v>
      </c>
      <c r="D2561" s="2" t="str">
        <f t="shared" si="39"/>
        <v>Error?</v>
      </c>
    </row>
    <row r="2562" spans="1:4" x14ac:dyDescent="0.2">
      <c r="A2562" s="5">
        <v>2501</v>
      </c>
      <c r="B2562" s="138">
        <f>'Acct Summary 7-8'!C20</f>
        <v>-11213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13933</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805</v>
      </c>
      <c r="D2723" s="2" t="str">
        <f t="shared" si="41"/>
        <v>Error?</v>
      </c>
    </row>
    <row r="2724" spans="1:4" x14ac:dyDescent="0.2">
      <c r="A2724" s="5">
        <v>2663</v>
      </c>
      <c r="B2724" s="138">
        <f>'Expenditures 15-22'!K51</f>
        <v>14738</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39116</v>
      </c>
      <c r="D2894" s="2" t="str">
        <f t="shared" si="44"/>
        <v>Error?</v>
      </c>
    </row>
    <row r="2895" spans="1:4" x14ac:dyDescent="0.2">
      <c r="A2895" s="5">
        <v>2834</v>
      </c>
      <c r="B2895" s="138">
        <f>'Assets-Liab 5-6'!L13</f>
        <v>39116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39116</v>
      </c>
      <c r="D2914" s="2" t="str">
        <f t="shared" si="44"/>
        <v>Error?</v>
      </c>
    </row>
    <row r="2915" spans="1:4" x14ac:dyDescent="0.2">
      <c r="A2915" s="10">
        <v>2854</v>
      </c>
      <c r="D2915" s="2" t="str">
        <f t="shared" si="44"/>
        <v>OK</v>
      </c>
    </row>
    <row r="2916" spans="1:4" x14ac:dyDescent="0.2">
      <c r="A2916" s="5">
        <v>2855</v>
      </c>
      <c r="B2916" s="138">
        <f>'Assets-Liab 5-6'!L34</f>
        <v>39116</v>
      </c>
      <c r="C2916" s="2" t="s">
        <v>594</v>
      </c>
      <c r="D2916" s="2" t="str">
        <f t="shared" si="44"/>
        <v>Error?</v>
      </c>
    </row>
    <row r="2917" spans="1:4" x14ac:dyDescent="0.2">
      <c r="A2917" s="5">
        <v>2856</v>
      </c>
      <c r="B2917" s="138">
        <f>'Assets-Liab 5-6'!L41</f>
        <v>39116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49616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49616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-11213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344986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580722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2179146</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580722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2190359</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898801</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898801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199028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250147</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898801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715200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715200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715200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606795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606795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26282</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26282</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633077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633077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250147</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250147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250147</v>
      </c>
      <c r="C5326" s="2" t="s">
        <v>594</v>
      </c>
      <c r="D5326" s="2" t="str">
        <f t="shared" si="82"/>
        <v>Error?</v>
      </c>
    </row>
    <row r="5327" spans="1:4" x14ac:dyDescent="0.2">
      <c r="A5327" s="5">
        <v>5266</v>
      </c>
      <c r="B5327" s="138">
        <f>'Revenues 9-14'!C275</f>
        <v>1598424</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69206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96382</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63188</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-11213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-5.6338806600076369E-2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T25" sqref="T25:AA25"/>
    </sheetView>
  </sheetViews>
  <sheetFormatPr defaultColWidth="9.28515625" defaultRowHeight="12.75" x14ac:dyDescent="0.2"/>
  <cols>
    <col min="1" max="1" width="7.7109375" style="1181" customWidth="1"/>
    <col min="2" max="2" width="2.28515625" style="1177" customWidth="1"/>
    <col min="3" max="3" width="9.28515625" style="1181"/>
    <col min="4" max="4" width="13" style="1181" customWidth="1"/>
    <col min="5" max="5" width="16" style="1181" customWidth="1"/>
    <col min="6" max="6" width="4.28515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7109375" style="1181" customWidth="1"/>
    <col min="13" max="13" width="2.7109375" style="1181" customWidth="1"/>
    <col min="14" max="14" width="13.28515625" style="1181" customWidth="1"/>
    <col min="15" max="15" width="7.28515625" style="1181" customWidth="1"/>
    <col min="16" max="16" width="7" style="1181" customWidth="1"/>
    <col min="17" max="19" width="9.7109375" style="1181" customWidth="1"/>
    <col min="20" max="16384" width="9.28515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Heartland Region EFE</v>
      </c>
      <c r="B7" s="2420"/>
      <c r="C7" s="2420"/>
      <c r="D7" s="2421"/>
      <c r="E7" s="2422">
        <f>COVER!A13</f>
        <v>39000000046</v>
      </c>
      <c r="F7" s="2423"/>
      <c r="G7" s="2429">
        <f>COVER!T23</f>
        <v>66.004384999999999</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FLOYD &amp; ASSOCIATES, CPAs</v>
      </c>
      <c r="H9" s="2435"/>
      <c r="I9" s="2435"/>
      <c r="J9" s="2435"/>
      <c r="K9" s="2435"/>
      <c r="L9" s="2436"/>
    </row>
    <row r="10" spans="1:29" ht="13.5" customHeight="1" x14ac:dyDescent="0.2">
      <c r="A10" s="2409">
        <f>COVER!A38</f>
        <v>0</v>
      </c>
      <c r="B10" s="2410"/>
      <c r="C10" s="2410"/>
      <c r="D10" s="2410"/>
      <c r="E10" s="2410"/>
      <c r="F10" s="2411"/>
      <c r="G10" s="2403" t="str">
        <f>COVER!T17</f>
        <v>910 STATE HIGHWAY 54 EAST</v>
      </c>
      <c r="H10" s="2404"/>
      <c r="I10" s="2404"/>
      <c r="J10" s="2404"/>
      <c r="K10" s="2404"/>
      <c r="L10" s="2405"/>
    </row>
    <row r="11" spans="1:29" ht="13.5" customHeight="1" x14ac:dyDescent="0.2">
      <c r="A11" s="1185" t="s">
        <v>1599</v>
      </c>
      <c r="B11" s="1186"/>
      <c r="C11" s="1187"/>
      <c r="D11" s="1192"/>
      <c r="E11" s="1187"/>
      <c r="F11" s="1191"/>
      <c r="G11" s="2403" t="str">
        <f>COVER!T19</f>
        <v>CLINTON</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julie.floyd@frontier.com</v>
      </c>
      <c r="J13" s="2416"/>
      <c r="K13" s="2416"/>
      <c r="L13" s="2417"/>
    </row>
    <row r="14" spans="1:29" ht="13.5" customHeight="1" x14ac:dyDescent="0.2">
      <c r="A14" s="2403" t="str">
        <f>COVER!A19</f>
        <v>ONE COLLEGE PARK</v>
      </c>
      <c r="B14" s="2404"/>
      <c r="C14" s="2404"/>
      <c r="D14" s="2404"/>
      <c r="E14" s="2404"/>
      <c r="F14" s="2405"/>
      <c r="G14" s="1196" t="s">
        <v>1247</v>
      </c>
      <c r="H14" s="1194"/>
      <c r="I14" s="1194"/>
      <c r="J14" s="1194"/>
      <c r="K14" s="1194"/>
      <c r="L14" s="1195"/>
    </row>
    <row r="15" spans="1:29" ht="13.5" customHeight="1" x14ac:dyDescent="0.2">
      <c r="A15" s="2403" t="str">
        <f>COVER!A21</f>
        <v>DECATUR</v>
      </c>
      <c r="B15" s="2404"/>
      <c r="C15" s="2404"/>
      <c r="D15" s="2404"/>
      <c r="E15" s="2404"/>
      <c r="F15" s="2405"/>
      <c r="G15" s="2400" t="str">
        <f>COVER!T15</f>
        <v>JULIE M. FLOYD, CPA</v>
      </c>
      <c r="H15" s="2401"/>
      <c r="I15" s="2401"/>
      <c r="J15" s="2401"/>
      <c r="K15" s="2401"/>
      <c r="L15" s="2402"/>
    </row>
    <row r="16" spans="1:29" ht="12.4" customHeight="1" x14ac:dyDescent="0.2">
      <c r="A16" s="2425">
        <f>COVER!A25</f>
        <v>62521</v>
      </c>
      <c r="B16" s="2426"/>
      <c r="C16" s="2426"/>
      <c r="D16" s="2426"/>
      <c r="E16" s="2426"/>
      <c r="F16" s="2427"/>
      <c r="G16" s="2437"/>
      <c r="H16" s="2438"/>
      <c r="I16" s="2438"/>
      <c r="J16" s="2438"/>
      <c r="K16" s="2438"/>
      <c r="L16" s="2439"/>
    </row>
    <row r="17" spans="1:13" ht="12.4" customHeight="1" x14ac:dyDescent="0.2">
      <c r="A17" s="2440"/>
      <c r="B17" s="2426"/>
      <c r="C17" s="2426"/>
      <c r="D17" s="2426"/>
      <c r="E17" s="2426"/>
      <c r="F17" s="2427"/>
      <c r="G17" s="1196" t="s">
        <v>1246</v>
      </c>
      <c r="H17" s="1194"/>
      <c r="I17" s="1194"/>
      <c r="J17" s="1194"/>
      <c r="K17" s="1198" t="s">
        <v>1245</v>
      </c>
      <c r="L17" s="1191"/>
      <c r="M17" s="1184"/>
    </row>
    <row r="18" spans="1:13" ht="12.4" customHeight="1" x14ac:dyDescent="0.2">
      <c r="A18" s="2409"/>
      <c r="B18" s="2410"/>
      <c r="C18" s="2410"/>
      <c r="D18" s="2410"/>
      <c r="E18" s="2410"/>
      <c r="F18" s="2411"/>
      <c r="G18" s="2419" t="str">
        <f>COVER!T21</f>
        <v>217-935-8871</v>
      </c>
      <c r="H18" s="2420"/>
      <c r="I18" s="2420"/>
      <c r="J18" s="2420"/>
      <c r="K18" s="2419" t="str">
        <f>COVER!X21</f>
        <v>217-935-5711</v>
      </c>
      <c r="L18" s="2424"/>
    </row>
    <row r="19" spans="1:13" ht="12.4" customHeight="1" x14ac:dyDescent="0.2">
      <c r="A19" s="1199"/>
      <c r="C19" s="1199"/>
      <c r="D19" s="1199"/>
      <c r="E19" s="1199"/>
      <c r="F19" s="1199"/>
      <c r="G19" s="1199"/>
      <c r="H19" s="1199"/>
      <c r="I19" s="1199"/>
      <c r="J19" s="1199"/>
      <c r="K19" s="1199"/>
      <c r="L19" s="1199"/>
    </row>
    <row r="20" spans="1:13" ht="12.4" customHeight="1" x14ac:dyDescent="0.2">
      <c r="A20" s="1199"/>
      <c r="C20" s="1199"/>
      <c r="D20" s="1199"/>
      <c r="E20" s="1199"/>
      <c r="F20" s="1199"/>
      <c r="G20" s="1199"/>
      <c r="H20" s="1199"/>
      <c r="I20" s="1199"/>
      <c r="J20" s="1199" t="s">
        <v>1231</v>
      </c>
      <c r="K20" s="1177" t="s">
        <v>1231</v>
      </c>
    </row>
    <row r="21" spans="1:13" ht="12.4" customHeight="1" x14ac:dyDescent="0.2">
      <c r="A21" s="1200" t="s">
        <v>1800</v>
      </c>
    </row>
    <row r="22" spans="1:13" ht="12.4" customHeight="1" x14ac:dyDescent="0.2">
      <c r="A22" s="1201"/>
    </row>
    <row r="23" spans="1:13" ht="12.4"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4" customHeight="1" x14ac:dyDescent="0.2">
      <c r="B26" s="1202"/>
      <c r="C26" s="1203" t="s">
        <v>1801</v>
      </c>
    </row>
    <row r="27" spans="1:13" s="1199" customFormat="1" ht="9" customHeight="1" x14ac:dyDescent="0.2">
      <c r="B27" s="1204"/>
      <c r="C27" s="1203"/>
    </row>
    <row r="28" spans="1:13" s="1199" customFormat="1" ht="12.4" customHeight="1" x14ac:dyDescent="0.2">
      <c r="A28" s="1206"/>
      <c r="B28" s="1202"/>
      <c r="C28" s="1203" t="s">
        <v>1802</v>
      </c>
    </row>
    <row r="29" spans="1:13" s="1199" customFormat="1" ht="9" customHeight="1" x14ac:dyDescent="0.2">
      <c r="A29" s="1206"/>
      <c r="B29" s="1204"/>
      <c r="C29" s="1203"/>
    </row>
    <row r="30" spans="1:13" s="1199" customFormat="1" ht="12.4" customHeight="1" x14ac:dyDescent="0.2">
      <c r="B30" s="1202"/>
      <c r="C30" s="1203" t="s">
        <v>1643</v>
      </c>
      <c r="D30" s="1197"/>
      <c r="E30" s="1197"/>
    </row>
    <row r="31" spans="1:13" s="1199" customFormat="1" ht="9" customHeight="1" x14ac:dyDescent="0.2">
      <c r="B31" s="1204"/>
      <c r="C31" s="1203"/>
      <c r="D31" s="1197"/>
      <c r="E31" s="1197"/>
    </row>
    <row r="32" spans="1:13" s="1199" customFormat="1" ht="12.4"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4"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3.1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4" customHeight="1" x14ac:dyDescent="0.2">
      <c r="B46" s="1202"/>
      <c r="C46" s="1210" t="s">
        <v>1649</v>
      </c>
      <c r="D46" s="1197"/>
      <c r="E46" s="1197"/>
      <c r="F46" s="1197"/>
      <c r="G46" s="1197"/>
      <c r="H46" s="1197"/>
    </row>
    <row r="47" spans="1:8" ht="9" customHeight="1" x14ac:dyDescent="0.2"/>
    <row r="48" spans="1:8" ht="12.4" customHeight="1" x14ac:dyDescent="0.2">
      <c r="B48" s="1211"/>
      <c r="C48" s="1212" t="s">
        <v>1650</v>
      </c>
    </row>
    <row r="49" spans="1:12" ht="9" customHeight="1" x14ac:dyDescent="0.2"/>
    <row r="50" spans="1:12" ht="6" customHeight="1" x14ac:dyDescent="0.2">
      <c r="C50" s="1212"/>
    </row>
    <row r="51" spans="1:12" ht="12.4" customHeight="1" x14ac:dyDescent="0.2">
      <c r="A51" s="1214" t="s">
        <v>1804</v>
      </c>
    </row>
    <row r="52" spans="1:12" ht="12.4" customHeight="1" x14ac:dyDescent="0.2">
      <c r="A52" s="1209"/>
    </row>
    <row r="53" spans="1:12" ht="12.4" customHeight="1" x14ac:dyDescent="0.2"/>
    <row r="54" spans="1:12" ht="12.4" customHeight="1" x14ac:dyDescent="0.2"/>
    <row r="55" spans="1:12" ht="12.4" customHeight="1" x14ac:dyDescent="0.2"/>
    <row r="56" spans="1:12" ht="12.4"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I1" zoomScale="125" zoomScaleNormal="125" workbookViewId="0">
      <selection activeCell="T25" sqref="T25:AA2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28515625" style="1222" customWidth="1"/>
    <col min="6" max="16384" width="10.7109375" style="1222"/>
  </cols>
  <sheetData>
    <row r="1" spans="1:11" s="1215" customFormat="1" ht="12.75" x14ac:dyDescent="0.2">
      <c r="A1" s="2441" t="str">
        <f>'Single Audit Cover'!A7</f>
        <v>Heartland Region EFE</v>
      </c>
      <c r="B1" s="2418"/>
      <c r="C1" s="2418"/>
      <c r="D1" s="2418"/>
    </row>
    <row r="2" spans="1:11" s="1215" customFormat="1" ht="12.75" x14ac:dyDescent="0.2">
      <c r="A2" s="2442">
        <f>'Single Audit Cover'!E7</f>
        <v>39000000046</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T25" sqref="T25:AA25"/>
    </sheetView>
  </sheetViews>
  <sheetFormatPr defaultColWidth="15.7109375" defaultRowHeight="12.75" x14ac:dyDescent="0.2"/>
  <cols>
    <col min="1" max="1" width="31.71093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Heartland Region EFE</v>
      </c>
      <c r="B1" s="2445"/>
      <c r="C1" s="2445"/>
      <c r="D1" s="2445"/>
      <c r="E1" s="2445"/>
    </row>
    <row r="2" spans="1:5" x14ac:dyDescent="0.2">
      <c r="A2" s="2446">
        <f>'Single Audit Cover'!E7</f>
        <v>39000000046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250147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250147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250147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250147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T25" sqref="T25:AA2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Heartland Region EFE</v>
      </c>
      <c r="B1" s="2458"/>
      <c r="C1" s="2458"/>
      <c r="D1" s="2458"/>
      <c r="E1" s="2458"/>
      <c r="F1" s="2458"/>
    </row>
    <row r="2" spans="1:7" ht="13.5" customHeight="1" x14ac:dyDescent="0.2">
      <c r="A2" s="2459">
        <f>'Single Audit Cover'!E7</f>
        <v>39000000046</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1.1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6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2">
        <f>+C33+C34</f>
        <v>0</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T25" sqref="T25:AA25"/>
    </sheetView>
  </sheetViews>
  <sheetFormatPr defaultColWidth="33.5703125" defaultRowHeight="12.75" x14ac:dyDescent="0.2"/>
  <cols>
    <col min="1" max="1" width="0.28515625" style="317" customWidth="1"/>
    <col min="2" max="2" width="32.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Heartland Region EFE</v>
      </c>
      <c r="C1" s="2462"/>
      <c r="D1" s="2462"/>
      <c r="E1" s="2462"/>
      <c r="F1" s="2462"/>
      <c r="G1" s="2462"/>
      <c r="H1" s="2462"/>
      <c r="I1" s="2462"/>
      <c r="J1" s="2462"/>
      <c r="K1" s="2462"/>
      <c r="L1" s="2462"/>
      <c r="M1" s="2462"/>
    </row>
    <row r="2" spans="2:14" ht="15" x14ac:dyDescent="0.2">
      <c r="B2" s="2459">
        <f>'Single Audit Cover'!E7</f>
        <v>39000000046</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4.1500000000000004"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4.1500000000000004"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4.1500000000000004"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7" colorId="8" zoomScale="110" zoomScaleNormal="110" workbookViewId="0">
      <selection activeCell="T25" sqref="T25:AA25"/>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2077</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T25" sqref="T25:AA25"/>
    </sheetView>
  </sheetViews>
  <sheetFormatPr defaultColWidth="9.28515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76" t="str">
        <f>'Single Audit Cover'!A7</f>
        <v>Heartland Region EFE</v>
      </c>
      <c r="C1" s="2477"/>
      <c r="D1" s="2477"/>
      <c r="E1" s="2477"/>
      <c r="F1" s="2477"/>
      <c r="G1" s="2477"/>
      <c r="H1" s="2477"/>
      <c r="I1" s="2477"/>
      <c r="J1" s="1422"/>
    </row>
    <row r="2" spans="2:10" s="317" customFormat="1" ht="12.75" customHeight="1" x14ac:dyDescent="0.2">
      <c r="B2" s="2478">
        <f>'Single Audit Cover'!E7</f>
        <v>39000000046</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4" customHeight="1" x14ac:dyDescent="0.2">
      <c r="B5" s="1424" t="s">
        <v>1231</v>
      </c>
      <c r="C5" s="1294"/>
      <c r="D5" s="1294"/>
      <c r="E5" s="1383"/>
      <c r="F5" s="322"/>
      <c r="G5" s="322"/>
      <c r="H5" s="322"/>
      <c r="I5" s="322"/>
    </row>
    <row r="6" spans="2:10" s="317" customFormat="1" ht="6.4"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4"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6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65"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65"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65"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10.15"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1952</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10.15"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4.1500000000000004" customHeight="1" x14ac:dyDescent="0.2">
      <c r="A57" s="1458"/>
      <c r="B57" s="1462"/>
      <c r="C57" s="1458"/>
      <c r="D57" s="1458"/>
    </row>
    <row r="58" spans="1:9" s="1461" customFormat="1" ht="13.5" customHeight="1" x14ac:dyDescent="0.2">
      <c r="A58" s="1458"/>
      <c r="B58" s="1463" t="s">
        <v>1856</v>
      </c>
      <c r="C58" s="1464"/>
      <c r="D58" s="1464"/>
    </row>
    <row r="59" spans="1:9" s="1461" customFormat="1" ht="4.1500000000000004" customHeight="1" x14ac:dyDescent="0.2">
      <c r="A59" s="1458"/>
      <c r="B59" s="1463"/>
      <c r="C59" s="1464"/>
      <c r="D59" s="1464"/>
    </row>
    <row r="60" spans="1:9" s="1461" customFormat="1" ht="13.5" customHeight="1" x14ac:dyDescent="0.2">
      <c r="A60" s="1458"/>
      <c r="B60" s="1463" t="s">
        <v>1857</v>
      </c>
      <c r="C60" s="1464"/>
      <c r="D60" s="1464"/>
    </row>
    <row r="61" spans="1:9" s="1461" customFormat="1" ht="4.1500000000000004"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T25" sqref="T25:AA25"/>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6" t="str">
        <f>'Single Audit Cover'!A7</f>
        <v>Heartland Region EFE</v>
      </c>
      <c r="C1" s="2476"/>
      <c r="D1" s="2476"/>
      <c r="E1" s="2476"/>
      <c r="F1" s="2476"/>
      <c r="G1" s="2476"/>
      <c r="H1" s="2476"/>
      <c r="I1" s="2476"/>
      <c r="J1" s="2476"/>
      <c r="K1" s="2476"/>
      <c r="L1" s="1374"/>
      <c r="M1" s="1374"/>
    </row>
    <row r="2" spans="1:13" ht="12" customHeight="1" x14ac:dyDescent="0.2">
      <c r="B2" s="2478">
        <f>'Single Audit Cover'!E7</f>
        <v>39000000046</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T25" sqref="T25:AA25"/>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499" t="str">
        <f>'Single Audit Cover'!A7</f>
        <v>Heartland Region EFE</v>
      </c>
      <c r="C1" s="2499"/>
      <c r="D1" s="2499"/>
      <c r="E1" s="2499"/>
      <c r="F1" s="2499"/>
      <c r="G1" s="2499"/>
      <c r="H1" s="2499"/>
      <c r="I1" s="2499"/>
      <c r="J1" s="2499"/>
      <c r="K1" s="2499"/>
      <c r="L1" s="1465"/>
    </row>
    <row r="2" spans="1:12" ht="12.75" customHeight="1" x14ac:dyDescent="0.2">
      <c r="B2" s="2500">
        <f>'Single Audit Cover'!E7</f>
        <v>39000000046</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T25" sqref="T25:AA25"/>
    </sheetView>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82" customFormat="1" ht="12.75" customHeight="1" x14ac:dyDescent="0.2">
      <c r="B1" s="2476" t="str">
        <f>'Single Audit Cover'!A7</f>
        <v>Heartland Region EFE</v>
      </c>
      <c r="C1" s="2476"/>
      <c r="D1" s="2476"/>
      <c r="E1" s="1491"/>
    </row>
    <row r="2" spans="2:5" s="1282" customFormat="1" ht="12.75" customHeight="1" x14ac:dyDescent="0.2">
      <c r="B2" s="2478">
        <f>'Single Audit Cover'!E7</f>
        <v>39000000046</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4" customHeight="1" x14ac:dyDescent="0.2">
      <c r="B44" s="1257" t="s">
        <v>1380</v>
      </c>
      <c r="C44" s="322"/>
    </row>
    <row r="45" spans="2:5" ht="12.4" customHeight="1" x14ac:dyDescent="0.2">
      <c r="B45" s="1505" t="s">
        <v>1872</v>
      </c>
    </row>
    <row r="46" spans="2:5" ht="12.4" customHeight="1" x14ac:dyDescent="0.2">
      <c r="B46" s="1505" t="s">
        <v>1873</v>
      </c>
    </row>
    <row r="47" spans="2:5" ht="12.4" customHeight="1" x14ac:dyDescent="0.2">
      <c r="B47" s="1506" t="s">
        <v>1379</v>
      </c>
    </row>
    <row r="48" spans="2:5" ht="12.4" customHeight="1" x14ac:dyDescent="0.2">
      <c r="B48" s="1506" t="s">
        <v>1378</v>
      </c>
    </row>
    <row r="49" spans="2:5" ht="12.4" customHeight="1" x14ac:dyDescent="0.2">
      <c r="B49" s="1506" t="s">
        <v>1377</v>
      </c>
    </row>
    <row r="50" spans="2:5" ht="12.4"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T25" sqref="T25:AA25"/>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1598424</v>
      </c>
      <c r="E16" s="356"/>
      <c r="F16" s="1755">
        <f>SUM('Acct Summary 7-8'!C17,'Acct Summary 7-8'!D17,'Acct Summary 7-8'!F17)</f>
        <v>1609637</v>
      </c>
      <c r="G16" s="356"/>
      <c r="H16" s="1755">
        <f>SUM(D16-F16)</f>
        <v>-11213</v>
      </c>
      <c r="I16" s="222"/>
      <c r="J16" s="1755">
        <f>SUM('Acct Summary 7-8'!C81,'Acct Summary 7-8'!D81,'Acct Summary 7-8'!F81,'Acct Summary 7-8'!I81)</f>
        <v>199028</v>
      </c>
      <c r="K16" s="222"/>
      <c r="L16" s="222"/>
      <c r="M16" s="222"/>
    </row>
    <row r="17" spans="1:13" ht="12.4" customHeight="1" x14ac:dyDescent="0.2">
      <c r="A17" s="349"/>
      <c r="B17" s="260" t="s">
        <v>8</v>
      </c>
      <c r="C17" s="237" t="s">
        <v>1463</v>
      </c>
      <c r="D17" s="222"/>
      <c r="E17" s="222"/>
      <c r="F17" s="222"/>
      <c r="G17" s="222"/>
      <c r="H17" s="222"/>
      <c r="I17" s="222"/>
      <c r="J17" s="222"/>
      <c r="K17" s="222"/>
      <c r="L17" s="222"/>
      <c r="M17" s="222"/>
    </row>
    <row r="18" spans="1:13" ht="12.4"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898801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4"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T25" sqref="T25:AA25"/>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Heartland Region EFE</v>
      </c>
      <c r="E7" s="391"/>
      <c r="G7" s="252"/>
      <c r="H7" s="387"/>
      <c r="I7" s="387"/>
      <c r="J7" s="387"/>
      <c r="K7" s="387"/>
      <c r="L7" s="329"/>
      <c r="M7" s="329"/>
      <c r="N7" s="329"/>
      <c r="O7" s="329"/>
      <c r="P7" s="329"/>
    </row>
    <row r="8" spans="1:18" ht="12.75" x14ac:dyDescent="0.2">
      <c r="A8" s="329"/>
      <c r="B8" s="329"/>
      <c r="C8" s="389" t="s">
        <v>1187</v>
      </c>
      <c r="D8" s="392">
        <f>COVER!A13</f>
        <v>39000000046</v>
      </c>
      <c r="E8" s="393"/>
      <c r="G8" s="329"/>
      <c r="H8" s="329"/>
      <c r="I8" s="329"/>
      <c r="J8" s="329"/>
      <c r="K8" s="329"/>
      <c r="L8" s="329"/>
      <c r="M8" s="329"/>
      <c r="N8" s="329"/>
      <c r="O8" s="329"/>
      <c r="P8" s="329"/>
    </row>
    <row r="9" spans="1:18" ht="12.75" x14ac:dyDescent="0.2">
      <c r="A9" s="329"/>
      <c r="B9" s="329"/>
      <c r="C9" s="389" t="s">
        <v>737</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199028</v>
      </c>
      <c r="I12" s="404"/>
      <c r="J12" s="404"/>
      <c r="K12" s="405">
        <f>TRUNC((H12/H13*100000),5)/100000</f>
        <v>0.12451514740000001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1598424</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1609637</v>
      </c>
      <c r="I17" s="404"/>
      <c r="J17" s="416"/>
      <c r="K17" s="405">
        <f>TRUNC((H17/H18*100000),5)/100000</f>
        <v>1.0070150348</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1598424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3.4946579000000004</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65" customHeight="1" x14ac:dyDescent="0.2">
      <c r="A21" s="216"/>
      <c r="B21" s="396"/>
      <c r="C21" s="218" t="s">
        <v>496</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344986</v>
      </c>
      <c r="I24" s="422"/>
      <c r="J24" s="422"/>
      <c r="K24" s="423">
        <f>TRUNC(((H24/H25*100000)/100000),2)</f>
        <v>77.150000000000006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4471.21389</v>
      </c>
      <c r="I25" s="425"/>
      <c r="J25" s="425"/>
      <c r="K25" s="410"/>
      <c r="L25" s="218"/>
      <c r="M25" s="360" t="s">
        <v>1207</v>
      </c>
      <c r="N25" s="360"/>
      <c r="O25" s="411">
        <f>O23*O24</f>
        <v>0.2</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898801</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1" activePane="bottomLeft" state="frozen"/>
      <selection activeCell="T25" sqref="T25:AA25"/>
      <selection pane="bottomLeft" activeCell="C40" sqref="C40"/>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344986</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69206</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v>39116</v>
      </c>
      <c r="M12" s="469"/>
      <c r="N12" s="469"/>
    </row>
    <row r="13" spans="1:14" ht="13.5" customHeight="1" thickBot="1" x14ac:dyDescent="0.25">
      <c r="A13" s="1758" t="s">
        <v>665</v>
      </c>
      <c r="B13" s="1731"/>
      <c r="C13" s="1759">
        <f>SUM(C4:C12)</f>
        <v>414192</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39116</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336551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336551</v>
      </c>
      <c r="N23" s="1710">
        <f>SUM(N21:N22)</f>
        <v>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96382</v>
      </c>
      <c r="D26" s="467"/>
      <c r="E26" s="467"/>
      <c r="F26" s="467"/>
      <c r="G26" s="467"/>
      <c r="H26" s="467"/>
      <c r="I26" s="467"/>
      <c r="J26" s="474"/>
      <c r="K26" s="467"/>
      <c r="L26" s="468"/>
      <c r="M26" s="468"/>
      <c r="N26" s="468"/>
    </row>
    <row r="27" spans="1:14" ht="13.5" customHeight="1" x14ac:dyDescent="0.2">
      <c r="A27" s="473" t="s">
        <v>668</v>
      </c>
      <c r="B27" s="470">
        <v>430</v>
      </c>
      <c r="C27" s="467">
        <v>5</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63188</v>
      </c>
      <c r="D30" s="474"/>
      <c r="E30" s="467"/>
      <c r="F30" s="467"/>
      <c r="G30" s="467"/>
      <c r="H30" s="467"/>
      <c r="I30" s="467"/>
      <c r="J30" s="467"/>
      <c r="K30" s="478"/>
      <c r="L30" s="468"/>
      <c r="M30" s="468"/>
      <c r="N30" s="468"/>
    </row>
    <row r="31" spans="1:14" ht="13.5" customHeight="1" x14ac:dyDescent="0.2">
      <c r="A31" s="473" t="s">
        <v>672</v>
      </c>
      <c r="B31" s="470">
        <v>480</v>
      </c>
      <c r="C31" s="466">
        <v>689</v>
      </c>
      <c r="D31" s="467"/>
      <c r="E31" s="467"/>
      <c r="F31" s="466"/>
      <c r="G31" s="467"/>
      <c r="H31" s="467"/>
      <c r="I31" s="467"/>
      <c r="J31" s="467"/>
      <c r="K31" s="467"/>
      <c r="L31" s="468"/>
      <c r="M31" s="468"/>
      <c r="N31" s="468"/>
    </row>
    <row r="32" spans="1:14" ht="13.5" customHeight="1" x14ac:dyDescent="0.2">
      <c r="A32" s="490" t="s">
        <v>673</v>
      </c>
      <c r="B32" s="491">
        <v>490</v>
      </c>
      <c r="C32" s="492">
        <v>54900</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39116</v>
      </c>
      <c r="M33" s="468"/>
      <c r="N33" s="469"/>
    </row>
    <row r="34" spans="1:14" ht="13.5" customHeight="1" thickBot="1" x14ac:dyDescent="0.25">
      <c r="A34" s="1760" t="s">
        <v>675</v>
      </c>
      <c r="B34" s="1761"/>
      <c r="C34" s="1762">
        <f>SUM(C25:C33)</f>
        <v>215164</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39116</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898801</v>
      </c>
    </row>
    <row r="37" spans="1:14" ht="13.5" thickBot="1" x14ac:dyDescent="0.25">
      <c r="A37" s="1758" t="s">
        <v>674</v>
      </c>
      <c r="B37" s="1763"/>
      <c r="C37" s="477"/>
      <c r="D37" s="477"/>
      <c r="E37" s="477"/>
      <c r="F37" s="477"/>
      <c r="G37" s="477"/>
      <c r="H37" s="477"/>
      <c r="I37" s="477"/>
      <c r="J37" s="477"/>
      <c r="K37" s="477"/>
      <c r="L37" s="480"/>
      <c r="M37" s="468"/>
      <c r="N37" s="1710">
        <f>SUM(N36:N36)</f>
        <v>898801</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199028</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336551</v>
      </c>
      <c r="N40" s="497"/>
    </row>
    <row r="41" spans="1:14" ht="13.5" customHeight="1" thickBot="1" x14ac:dyDescent="0.25">
      <c r="A41" s="1758" t="s">
        <v>676</v>
      </c>
      <c r="B41" s="1728"/>
      <c r="C41" s="1710">
        <f>(SUM(C34,C37,C38,C39))</f>
        <v>414192</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39116</v>
      </c>
      <c r="M41" s="1710">
        <f>SUM(M40)</f>
        <v>336551</v>
      </c>
      <c r="N41" s="1710">
        <f>SUM(N37)</f>
        <v>898801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25" sqref="T25:AA25"/>
      <selection pane="bottomLeft" activeCell="T25" sqref="T25:AA25"/>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899999999999999"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715200</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633077</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250147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1598424</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580722</v>
      </c>
      <c r="D9" s="516"/>
      <c r="E9" s="481"/>
      <c r="F9" s="481"/>
      <c r="G9" s="517"/>
      <c r="H9" s="481"/>
      <c r="I9" s="509" t="s">
        <v>1231</v>
      </c>
      <c r="J9" s="478"/>
      <c r="K9" s="481"/>
      <c r="L9" s="347"/>
    </row>
    <row r="10" spans="1:13" s="519" customFormat="1" ht="13.5" thickBot="1" x14ac:dyDescent="0.25">
      <c r="A10" s="1758" t="s">
        <v>1235</v>
      </c>
      <c r="B10" s="1731"/>
      <c r="C10" s="1710">
        <f>SUM(C8:C9)</f>
        <v>2179146</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899999999999999"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1005214</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554807</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49616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1609637</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580722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2190359</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2" t="s">
        <v>1754</v>
      </c>
      <c r="B20" s="2143"/>
      <c r="C20" s="1768">
        <f>C8-C17</f>
        <v>-11213</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899999999999999"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-11213</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210241</v>
      </c>
      <c r="D79" s="535"/>
      <c r="E79" s="535"/>
      <c r="F79" s="535"/>
      <c r="G79" s="535"/>
      <c r="H79" s="535"/>
      <c r="I79" s="535"/>
      <c r="J79" s="535"/>
      <c r="K79" s="535"/>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199028</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-11213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-5.6338806600076369E-2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61" activePane="bottomLeft" state="frozen"/>
      <selection activeCell="T25" sqref="T25:AA25"/>
      <selection pane="bottomLeft" activeCell="C135" sqref="C135"/>
    </sheetView>
  </sheetViews>
  <sheetFormatPr defaultColWidth="9.28515625" defaultRowHeight="12.75" x14ac:dyDescent="0.2"/>
  <cols>
    <col min="1" max="1" width="54.28515625" style="595" customWidth="1"/>
    <col min="2" max="2" width="4.7109375" style="596" customWidth="1"/>
    <col min="3" max="11" width="13.7109375" style="384" customWidth="1"/>
    <col min="12" max="16384" width="9.28515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899999999999999"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715200</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715200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715200</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899999999999999"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606795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606795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26282</v>
      </c>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26282</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633077</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633077</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899999999999999"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250147</v>
      </c>
      <c r="D227" s="466"/>
      <c r="E227" s="468"/>
      <c r="F227" s="468"/>
      <c r="G227" s="466"/>
      <c r="H227" s="468"/>
      <c r="I227" s="468"/>
      <c r="J227" s="468"/>
      <c r="K227" s="468"/>
    </row>
    <row r="228" spans="1:11" ht="12.75" customHeight="1" thickBot="1" x14ac:dyDescent="0.25">
      <c r="A228" s="1745" t="s">
        <v>1145</v>
      </c>
      <c r="B228" s="1746"/>
      <c r="C228" s="1729">
        <f>SUM(C226:C227)</f>
        <v>250147</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250147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250147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1598424</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81" activePane="bottomLeft" state="frozen"/>
      <selection activeCell="T25" sqref="T25:AA25"/>
      <selection pane="bottomLeft" activeCell="L61" sqref="L61"/>
    </sheetView>
  </sheetViews>
  <sheetFormatPr defaultColWidth="9.28515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7109375" style="343" customWidth="1"/>
    <col min="13" max="13" width="1.5703125" style="210" customWidth="1"/>
    <col min="14" max="14" width="9.28515625" style="210"/>
    <col min="15" max="16384" width="9.28515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899999999999999"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702340</v>
      </c>
      <c r="D13" s="466">
        <v>127370</v>
      </c>
      <c r="E13" s="466">
        <v>53829</v>
      </c>
      <c r="F13" s="466">
        <v>81905</v>
      </c>
      <c r="G13" s="466">
        <v>16239</v>
      </c>
      <c r="H13" s="466">
        <v>23531</v>
      </c>
      <c r="I13" s="467"/>
      <c r="J13" s="467"/>
      <c r="K13" s="1693">
        <f t="shared" si="0"/>
        <v>1005214</v>
      </c>
      <c r="L13" s="466">
        <v>601089</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702340</v>
      </c>
      <c r="D33" s="1692">
        <f t="shared" ref="D33:L33" si="1">SUM(D5:D32)</f>
        <v>127370</v>
      </c>
      <c r="E33" s="1692">
        <f t="shared" si="1"/>
        <v>53829</v>
      </c>
      <c r="F33" s="1692">
        <f t="shared" si="1"/>
        <v>81905</v>
      </c>
      <c r="G33" s="1692">
        <f t="shared" si="1"/>
        <v>16239</v>
      </c>
      <c r="H33" s="1692">
        <f t="shared" si="1"/>
        <v>23531</v>
      </c>
      <c r="I33" s="1692">
        <f t="shared" si="1"/>
        <v>0</v>
      </c>
      <c r="J33" s="1692">
        <f t="shared" si="1"/>
        <v>0</v>
      </c>
      <c r="K33" s="1692">
        <f t="shared" si="1"/>
        <v>1005214</v>
      </c>
      <c r="L33" s="1692">
        <f t="shared" si="1"/>
        <v>601089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132199</v>
      </c>
      <c r="D37" s="466">
        <v>32707</v>
      </c>
      <c r="E37" s="466">
        <v>17253</v>
      </c>
      <c r="F37" s="466">
        <v>470</v>
      </c>
      <c r="G37" s="466"/>
      <c r="H37" s="466"/>
      <c r="I37" s="467"/>
      <c r="J37" s="467"/>
      <c r="K37" s="1693">
        <f t="shared" si="2"/>
        <v>182629</v>
      </c>
      <c r="L37" s="466">
        <v>134566</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132199</v>
      </c>
      <c r="D42" s="1692">
        <f t="shared" ref="D42:L42" si="3">SUM(D36:D41)</f>
        <v>32707</v>
      </c>
      <c r="E42" s="1692">
        <f t="shared" si="3"/>
        <v>17253</v>
      </c>
      <c r="F42" s="1692">
        <f t="shared" si="3"/>
        <v>470</v>
      </c>
      <c r="G42" s="1692">
        <f t="shared" si="3"/>
        <v>0</v>
      </c>
      <c r="H42" s="1692">
        <f t="shared" si="3"/>
        <v>0</v>
      </c>
      <c r="I42" s="1692">
        <f t="shared" si="3"/>
        <v>0</v>
      </c>
      <c r="J42" s="1692">
        <f t="shared" si="3"/>
        <v>0</v>
      </c>
      <c r="K42" s="1692">
        <f t="shared" si="3"/>
        <v>182629</v>
      </c>
      <c r="L42" s="1692">
        <f t="shared" si="3"/>
        <v>134566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35784</v>
      </c>
      <c r="D44" s="481">
        <v>14719</v>
      </c>
      <c r="E44" s="481">
        <v>32759</v>
      </c>
      <c r="F44" s="481">
        <v>3473</v>
      </c>
      <c r="G44" s="481"/>
      <c r="H44" s="481"/>
      <c r="I44" s="467"/>
      <c r="J44" s="467"/>
      <c r="K44" s="1694">
        <f>SUM(C44:J44)</f>
        <v>86735</v>
      </c>
      <c r="L44" s="481">
        <v>69112</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35784</v>
      </c>
      <c r="D47" s="1692">
        <f t="shared" ref="D47:K47" si="4">SUM(D44:D46)</f>
        <v>14719</v>
      </c>
      <c r="E47" s="1692">
        <f t="shared" si="4"/>
        <v>32759</v>
      </c>
      <c r="F47" s="1692">
        <f t="shared" si="4"/>
        <v>3473</v>
      </c>
      <c r="G47" s="1692">
        <f t="shared" si="4"/>
        <v>0</v>
      </c>
      <c r="H47" s="1692">
        <f t="shared" si="4"/>
        <v>0</v>
      </c>
      <c r="I47" s="1692">
        <f t="shared" si="4"/>
        <v>0</v>
      </c>
      <c r="J47" s="1692">
        <f t="shared" si="4"/>
        <v>0</v>
      </c>
      <c r="K47" s="1692">
        <f t="shared" si="4"/>
        <v>86735</v>
      </c>
      <c r="L47" s="1692">
        <f>SUM(L44:L46)</f>
        <v>69112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v>36937</v>
      </c>
      <c r="D50" s="466">
        <v>10071</v>
      </c>
      <c r="E50" s="466">
        <v>497</v>
      </c>
      <c r="F50" s="466"/>
      <c r="G50" s="466"/>
      <c r="H50" s="466"/>
      <c r="I50" s="467"/>
      <c r="J50" s="467"/>
      <c r="K50" s="1694">
        <f>SUM(C50:J50)</f>
        <v>47505</v>
      </c>
      <c r="L50" s="466">
        <v>47095</v>
      </c>
    </row>
    <row r="51" spans="1:14" x14ac:dyDescent="0.2">
      <c r="A51" s="1526" t="s">
        <v>44</v>
      </c>
      <c r="B51" s="615">
        <v>2330</v>
      </c>
      <c r="C51" s="466"/>
      <c r="D51" s="466"/>
      <c r="E51" s="466">
        <v>13933</v>
      </c>
      <c r="F51" s="466"/>
      <c r="G51" s="466"/>
      <c r="H51" s="466">
        <v>805</v>
      </c>
      <c r="I51" s="467"/>
      <c r="J51" s="467"/>
      <c r="K51" s="1694">
        <f>SUM(C51:J51)</f>
        <v>14738</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36937</v>
      </c>
      <c r="D53" s="1692">
        <f t="shared" ref="D53:L53" si="5">SUM(D49:D52)</f>
        <v>10071</v>
      </c>
      <c r="E53" s="1692">
        <f t="shared" si="5"/>
        <v>14430</v>
      </c>
      <c r="F53" s="1692">
        <f t="shared" si="5"/>
        <v>0</v>
      </c>
      <c r="G53" s="1692">
        <f t="shared" si="5"/>
        <v>0</v>
      </c>
      <c r="H53" s="1692">
        <f t="shared" si="5"/>
        <v>805</v>
      </c>
      <c r="I53" s="1692">
        <f t="shared" si="5"/>
        <v>0</v>
      </c>
      <c r="J53" s="1692">
        <f t="shared" si="5"/>
        <v>0</v>
      </c>
      <c r="K53" s="1692">
        <f t="shared" si="5"/>
        <v>62243</v>
      </c>
      <c r="L53" s="1692">
        <f t="shared" si="5"/>
        <v>47095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50000</v>
      </c>
      <c r="F60" s="466"/>
      <c r="G60" s="466"/>
      <c r="H60" s="466"/>
      <c r="I60" s="467"/>
      <c r="J60" s="467"/>
      <c r="K60" s="1694">
        <f t="shared" si="7"/>
        <v>50000</v>
      </c>
      <c r="L60" s="466">
        <v>50000</v>
      </c>
      <c r="M60" s="610"/>
      <c r="N60" s="610"/>
    </row>
    <row r="61" spans="1:14" s="343" customFormat="1" x14ac:dyDescent="0.2">
      <c r="A61" s="1526" t="s">
        <v>206</v>
      </c>
      <c r="B61" s="615">
        <v>2540</v>
      </c>
      <c r="C61" s="466"/>
      <c r="D61" s="466"/>
      <c r="E61" s="466">
        <v>170540</v>
      </c>
      <c r="F61" s="466"/>
      <c r="G61" s="466"/>
      <c r="H61" s="466"/>
      <c r="I61" s="467"/>
      <c r="J61" s="467"/>
      <c r="K61" s="1694">
        <f t="shared" si="7"/>
        <v>170540</v>
      </c>
      <c r="L61" s="466"/>
      <c r="M61" s="610"/>
      <c r="N61" s="610"/>
    </row>
    <row r="62" spans="1:14" s="343" customFormat="1" x14ac:dyDescent="0.2">
      <c r="A62" s="1526" t="s">
        <v>1010</v>
      </c>
      <c r="B62" s="615">
        <v>2550</v>
      </c>
      <c r="C62" s="466"/>
      <c r="D62" s="466"/>
      <c r="E62" s="466">
        <v>2660</v>
      </c>
      <c r="F62" s="466"/>
      <c r="G62" s="466"/>
      <c r="H62" s="466"/>
      <c r="I62" s="467"/>
      <c r="J62" s="467"/>
      <c r="K62" s="1694">
        <f t="shared" si="7"/>
        <v>2660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223200</v>
      </c>
      <c r="F65" s="1692">
        <f t="shared" si="8"/>
        <v>0</v>
      </c>
      <c r="G65" s="1692">
        <f t="shared" si="8"/>
        <v>0</v>
      </c>
      <c r="H65" s="1692">
        <f t="shared" si="8"/>
        <v>0</v>
      </c>
      <c r="I65" s="1692">
        <f t="shared" si="8"/>
        <v>0</v>
      </c>
      <c r="J65" s="1692">
        <f t="shared" si="8"/>
        <v>0</v>
      </c>
      <c r="K65" s="1692">
        <f t="shared" si="8"/>
        <v>223200</v>
      </c>
      <c r="L65" s="1692">
        <f t="shared" si="8"/>
        <v>50000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204920</v>
      </c>
      <c r="D74" s="1699">
        <f t="shared" ref="D74:K74" si="10">SUM(D42,D47,D53,D57,D65,D72,D73)</f>
        <v>57497</v>
      </c>
      <c r="E74" s="1699">
        <f t="shared" si="10"/>
        <v>287642</v>
      </c>
      <c r="F74" s="1699">
        <f t="shared" si="10"/>
        <v>3943</v>
      </c>
      <c r="G74" s="1699">
        <f t="shared" si="10"/>
        <v>0</v>
      </c>
      <c r="H74" s="1699">
        <f t="shared" si="10"/>
        <v>805</v>
      </c>
      <c r="I74" s="1699">
        <f t="shared" si="10"/>
        <v>0</v>
      </c>
      <c r="J74" s="1699">
        <f t="shared" si="10"/>
        <v>0</v>
      </c>
      <c r="K74" s="1699">
        <f t="shared" si="10"/>
        <v>554807</v>
      </c>
      <c r="L74" s="1699">
        <f>SUM(L42,L47,L53,L57,L65,L72,L73)</f>
        <v>300773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49616</v>
      </c>
      <c r="I81" s="477"/>
      <c r="J81" s="477"/>
      <c r="K81" s="1693">
        <f t="shared" si="11"/>
        <v>49616</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49616</v>
      </c>
      <c r="I84" s="477"/>
      <c r="J84" s="477"/>
      <c r="K84" s="1692">
        <f>SUM(K78:K83)</f>
        <v>49616</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49616</v>
      </c>
      <c r="I102" s="477"/>
      <c r="J102" s="477"/>
      <c r="K102" s="1699">
        <f>SUM(K84,K92,K100,K101)</f>
        <v>49616</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907260</v>
      </c>
      <c r="D114" s="1692">
        <f t="shared" ref="D114:K114" si="13">SUM(D33,D74,D75,D102,D112,D113)</f>
        <v>184867</v>
      </c>
      <c r="E114" s="1692">
        <f t="shared" si="13"/>
        <v>341471</v>
      </c>
      <c r="F114" s="1692">
        <f t="shared" si="13"/>
        <v>85848</v>
      </c>
      <c r="G114" s="1692">
        <f t="shared" si="13"/>
        <v>16239</v>
      </c>
      <c r="H114" s="1692">
        <f>SUM(H33,H74,H75,H102,H112,H113)</f>
        <v>73952</v>
      </c>
      <c r="I114" s="1692">
        <f t="shared" si="13"/>
        <v>0</v>
      </c>
      <c r="J114" s="1692">
        <f t="shared" si="13"/>
        <v>0</v>
      </c>
      <c r="K114" s="1692">
        <f t="shared" si="13"/>
        <v>1609637</v>
      </c>
      <c r="L114" s="1692">
        <f>SUM(L33,L74,L75,L102,L112,L113)</f>
        <v>901862</v>
      </c>
    </row>
    <row r="115" spans="1:14" ht="13.5" thickTop="1" x14ac:dyDescent="0.2">
      <c r="A115" s="2197" t="s">
        <v>1053</v>
      </c>
      <c r="B115" s="2198"/>
      <c r="C115" s="619"/>
      <c r="D115" s="619"/>
      <c r="E115" s="619"/>
      <c r="F115" s="619"/>
      <c r="G115" s="619"/>
      <c r="H115" s="619"/>
      <c r="I115" s="619"/>
      <c r="J115" s="619"/>
      <c r="K115" s="1706">
        <f>'Revenues 9-14'!C275-'Expenditures 15-22'!K114</f>
        <v>-11213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899999999999999"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7" t="s">
        <v>641</v>
      </c>
      <c r="B151" s="2169"/>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0" t="s">
        <v>1240</v>
      </c>
      <c r="B152" s="2191"/>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899999999999999"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7" t="s">
        <v>1053</v>
      </c>
      <c r="B175" s="2198"/>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899999999999999"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7" t="s">
        <v>1053</v>
      </c>
      <c r="B211" s="2198"/>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899999999999999"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7" t="s">
        <v>1053</v>
      </c>
      <c r="B296" s="2198"/>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899999999999999"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899999999999999"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899999999999999"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3" t="s">
        <v>1053</v>
      </c>
      <c r="B343" s="2184"/>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899999999999999"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7" t="s">
        <v>1053</v>
      </c>
      <c r="B368" s="2198"/>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www.w3.org/XML/1998/namespace"/>
    <ds:schemaRef ds:uri="http://purl.org/dc/terms/"/>
    <ds:schemaRef ds:uri="http://purl.org/dc/dcmitype/"/>
    <ds:schemaRef ds:uri="http://schemas.microsoft.com/office/infopath/2007/PartnerControls"/>
    <ds:schemaRef ds:uri="http://schemas.microsoft.com/office/2006/documentManagement/types"/>
    <ds:schemaRef ds:uri="4d435f69-8686-490b-bd6d-b153bf22ab50"/>
    <ds:schemaRef ds:uri="http://schemas.openxmlformats.org/package/2006/metadata/core-properties"/>
    <ds:schemaRef ds:uri="http://schemas.microsoft.com/sharepoint/v3"/>
    <ds:schemaRef ds:uri="d21dc803-237d-4c68-8692-8d731fd29118"/>
    <ds:schemaRef ds:uri="6ce3111e-7420-4802-b50a-75d4e9a0b98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2018-10-01T13:58:08Z</cp:lastPrinted>
  <dcterms:created xsi:type="dcterms:W3CDTF">2003-10-29T19:06:34Z</dcterms:created>
  <dcterms:modified xsi:type="dcterms:W3CDTF">2018-10-12T16:37:30Z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