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16500" windowHeight="13110" tabRatio="959" firstSheet="14" activeTab="2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7" i="173" l="1"/>
  <c r="M27" i="179"/>
  <c r="M25" i="179"/>
  <c r="H27" i="179"/>
  <c r="G27" i="179"/>
  <c r="F27" i="179"/>
  <c r="E27" i="179"/>
  <c r="F18" i="179"/>
  <c r="F15" i="179"/>
  <c r="L24" i="179"/>
  <c r="L16" i="179"/>
  <c r="L15" i="179"/>
  <c r="L13" i="179"/>
  <c r="L14" i="179"/>
  <c r="M20" i="179"/>
  <c r="K20" i="179"/>
  <c r="K27" i="179" s="1"/>
  <c r="J20" i="179"/>
  <c r="I20" i="179"/>
  <c r="I27" i="179" s="1"/>
  <c r="H20" i="179"/>
  <c r="G20" i="179"/>
  <c r="F20" i="179"/>
  <c r="E20" i="179"/>
  <c r="K25" i="179"/>
  <c r="J25" i="179"/>
  <c r="I25" i="179"/>
  <c r="H25" i="179"/>
  <c r="G25" i="179"/>
  <c r="F25" i="179"/>
  <c r="E25" i="179"/>
  <c r="J27" i="179" l="1"/>
  <c r="D17" i="181" l="1"/>
  <c r="C9" i="4" l="1"/>
  <c r="H16" i="145"/>
  <c r="H15" i="145"/>
  <c r="H13" i="145"/>
  <c r="H12" i="145"/>
  <c r="C65" i="5"/>
  <c r="M19" i="3"/>
  <c r="C4" i="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5" i="179"/>
  <c r="L23" i="179"/>
  <c r="L20" i="179"/>
  <c r="L18" i="179"/>
  <c r="L17"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c r="B6391" i="106"/>
  <c r="D6391" i="106" s="1"/>
  <c r="B6392" i="106"/>
  <c r="D6392" i="106" s="1"/>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s="1"/>
  <c r="B6406" i="106"/>
  <c r="D6406" i="106" s="1"/>
  <c r="B6407" i="106"/>
  <c r="D6407" i="106" s="1"/>
  <c r="B6408" i="106"/>
  <c r="D6408" i="106" s="1"/>
  <c r="B6410" i="106"/>
  <c r="D6410" i="106"/>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s="1"/>
  <c r="B6651" i="106"/>
  <c r="D6651" i="106" s="1"/>
  <c r="B6652" i="106"/>
  <c r="D6652" i="106" s="1"/>
  <c r="B6653" i="106"/>
  <c r="D6653" i="106" s="1"/>
  <c r="B6654" i="106"/>
  <c r="D6654" i="106" s="1"/>
  <c r="B6655" i="106"/>
  <c r="D6655" i="106"/>
  <c r="B6656" i="106"/>
  <c r="D6656" i="106" s="1"/>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s="1"/>
  <c r="B6667" i="106"/>
  <c r="D6667" i="106" s="1"/>
  <c r="B6668" i="106"/>
  <c r="D6668" i="106" s="1"/>
  <c r="B6669" i="106"/>
  <c r="D6669" i="106" s="1"/>
  <c r="B6670" i="106"/>
  <c r="D6670" i="106" s="1"/>
  <c r="B6671" i="106"/>
  <c r="D6671" i="106"/>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s="1"/>
  <c r="B6683" i="106"/>
  <c r="D6683" i="106" s="1"/>
  <c r="B6684" i="106"/>
  <c r="D6684" i="106" s="1"/>
  <c r="B6685" i="106"/>
  <c r="D6685" i="106" s="1"/>
  <c r="B6686" i="106"/>
  <c r="D6686" i="106" s="1"/>
  <c r="B6687" i="106"/>
  <c r="D6687" i="106"/>
  <c r="B6688" i="106"/>
  <c r="D6688" i="106" s="1"/>
  <c r="B6689" i="106"/>
  <c r="D6689" i="106" s="1"/>
  <c r="B6690" i="106"/>
  <c r="D6690" i="106" s="1"/>
  <c r="B6691" i="106"/>
  <c r="D6691" i="106" s="1"/>
  <c r="B6692" i="106"/>
  <c r="D6692" i="106" s="1"/>
  <c r="B6693" i="106"/>
  <c r="D6693" i="106" s="1"/>
  <c r="B6694" i="106"/>
  <c r="D6694" i="106" s="1"/>
  <c r="B6695" i="106"/>
  <c r="D6695" i="106"/>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11" i="37"/>
  <c r="D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52" i="106"/>
  <c r="D5752" i="106" s="1"/>
  <c r="D17" i="7"/>
  <c r="B4104" i="106" s="1"/>
  <c r="D4104" i="106" s="1"/>
  <c r="D12" i="7"/>
  <c r="B1769" i="106" s="1"/>
  <c r="D1769" i="106" s="1"/>
  <c r="K274" i="5" l="1"/>
  <c r="F127" i="34"/>
  <c r="G5" i="4"/>
  <c r="B3409" i="106" s="1"/>
  <c r="D3409" i="106" s="1"/>
  <c r="F136" i="34"/>
  <c r="D69" i="36"/>
  <c r="D31" i="36"/>
  <c r="B4087" i="106"/>
  <c r="D4087" i="106" s="1"/>
  <c r="H29" i="118"/>
  <c r="H173" i="5"/>
  <c r="B5906" i="106" s="1"/>
  <c r="D5906" i="106" s="1"/>
  <c r="L367" i="29"/>
  <c r="B7235" i="106"/>
  <c r="D7235" i="106" s="1"/>
  <c r="C342" i="29"/>
  <c r="B7216" i="106" s="1"/>
  <c r="D7216" i="106" s="1"/>
  <c r="E174" i="29"/>
  <c r="B1309" i="106" s="1"/>
  <c r="D1309" i="106" s="1"/>
  <c r="L13" i="11"/>
  <c r="B2060" i="106" s="1"/>
  <c r="D2060" i="106" s="1"/>
  <c r="D26" i="108"/>
  <c r="D54" i="36"/>
  <c r="D7" i="7"/>
  <c r="B1763" i="106" s="1"/>
  <c r="D1763" i="106" s="1"/>
  <c r="F35" i="34"/>
  <c r="F77" i="4"/>
  <c r="B3255" i="106" s="1"/>
  <c r="D3255" i="106" s="1"/>
  <c r="H6" i="4"/>
  <c r="B2656" i="106" s="1"/>
  <c r="D2656" i="106" s="1"/>
  <c r="F106" i="34"/>
  <c r="B4373" i="106"/>
  <c r="D4373" i="106" s="1"/>
  <c r="K173" i="5"/>
  <c r="K6" i="4" s="1"/>
  <c r="B3570" i="106" s="1"/>
  <c r="D3570" i="106" s="1"/>
  <c r="H109" i="5"/>
  <c r="F49" i="34"/>
  <c r="F41" i="34"/>
  <c r="L15" i="11"/>
  <c r="B3459" i="106" s="1"/>
  <c r="D3459" i="106" s="1"/>
  <c r="B1126" i="106"/>
  <c r="D1126" i="106" s="1"/>
  <c r="C172" i="5"/>
  <c r="B5214" i="106" s="1"/>
  <c r="D5214" i="106" s="1"/>
  <c r="F128" i="34"/>
  <c r="B4951" i="106"/>
  <c r="D4951" i="106" s="1"/>
  <c r="G172" i="5"/>
  <c r="G173" i="5" s="1"/>
  <c r="B5778" i="106" s="1"/>
  <c r="D5778" i="106" s="1"/>
  <c r="C109" i="5"/>
  <c r="B5121" i="106" s="1"/>
  <c r="D5121" i="106" s="1"/>
  <c r="K350" i="29"/>
  <c r="B6025" i="106"/>
  <c r="D6025" i="106" s="1"/>
  <c r="H4" i="4"/>
  <c r="B2655" i="106" s="1"/>
  <c r="D2655" i="106" s="1"/>
  <c r="C173" i="5"/>
  <c r="B5223" i="106" s="1"/>
  <c r="D5223" i="106" s="1"/>
  <c r="B3565" i="106"/>
  <c r="D3565" i="106" s="1"/>
  <c r="K41" i="3"/>
  <c r="B6191" i="106"/>
  <c r="D6191" i="106" s="1"/>
  <c r="J41" i="3"/>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K352" i="29"/>
  <c r="K13" i="4" s="1"/>
  <c r="B3572" i="106" s="1"/>
  <c r="D357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D7252" i="106" l="1"/>
  <c r="D7251" i="106"/>
  <c r="L16" i="11"/>
  <c r="B2061" i="106" s="1"/>
  <c r="D2061" i="106" s="1"/>
  <c r="B2031" i="106"/>
  <c r="D2031" i="106" s="1"/>
  <c r="L114" i="29"/>
  <c r="C114" i="29"/>
  <c r="B757" i="106" s="1"/>
  <c r="D757" i="106" s="1"/>
  <c r="C4" i="4"/>
  <c r="B2551" i="106" s="1"/>
  <c r="D2551" i="106" s="1"/>
  <c r="D44" i="36"/>
  <c r="B5770" i="106"/>
  <c r="D5770" i="106"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G41" i="108" l="1"/>
  <c r="G44" i="108" s="1"/>
  <c r="G45" i="108" s="1"/>
  <c r="J8" i="4"/>
  <c r="J10" i="4" s="1"/>
  <c r="B6225" i="106" s="1"/>
  <c r="D6225" i="106" s="1"/>
  <c r="F8" i="4"/>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<sst xmlns="http://schemas.openxmlformats.org/spreadsheetml/2006/main" count="5052" uniqueCount="2098">
  <si>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</si>
  <si>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</si>
  <si>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</si>
  <si>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</si>
  <si>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</si>
  <si>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</si>
  <si>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</si>
  <si>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</si>
  <si>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</si>
  <si>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</si>
  <si>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</si>
  <si>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</si>
  <si>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</si>
  <si>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</si>
  <si>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</si>
  <si>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</si>
  <si>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</si>
  <si>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</si>
  <si>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</si>
  <si>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</si>
  <si>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</si>
  <si>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</si>
  <si>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</si>
  <si>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</si>
  <si>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</si>
  <si>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</si>
  <si>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</si>
  <si>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</si>
  <si>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</si>
  <si>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</si>
  <si>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</si>
  <si>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</si>
  <si>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</si>
  <si>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</si>
  <si>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</si>
  <si>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</si>
  <si>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</si>
  <si>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</si>
  <si>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</si>
  <si>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</si>
  <si>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</si>
  <si>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</si>
  <si>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</si>
  <si>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</si>
  <si>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</si>
  <si>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</si>
  <si>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</si>
  <si>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</si>
  <si>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</si>
  <si>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</si>
  <si>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</si>
  <si>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</si>
  <si>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</si>
  <si>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</si>
  <si>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</si>
  <si>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</si>
  <si>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</si>
  <si>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</si>
  <si>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</si>
  <si>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</si>
  <si>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</si>
  <si>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</si>
  <si>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</si>
  <si>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</si>
  <si>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</si>
  <si>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</si>
  <si>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</si>
  <si>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</si>
  <si>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</si>
  <si>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</si>
  <si>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</si>
  <si>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</si>
  <si>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</si>
  <si>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</si>
  <si>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</si>
  <si>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</si>
  <si>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</si>
  <si>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</si>
  <si>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</si>
  <si>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</si>
  <si>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</si>
  <si>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</si>
  <si>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</si>
  <si>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</si>
  <si>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</si>
  <si>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</si>
  <si>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</si>
  <si>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</si>
  <si>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</si>
  <si>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</si>
  <si>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</si>
  <si>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</si>
  <si>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</si>
  <si>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</si>
  <si>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</si>
  <si>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</si>
  <si>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</si>
  <si>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</si>
  <si>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</si>
  <si>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</si>
  <si>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</si>
  <si>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</si>
  <si>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</si>
  <si>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</si>
  <si>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</si>
  <si>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</si>
  <si>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</si>
  <si>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</si>
  <si>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</si>
  <si>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</si>
  <si>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</si>
  <si>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</si>
  <si>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</si>
  <si>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</si>
  <si>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</si>
  <si>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</si>
  <si>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</si>
  <si>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</si>
  <si>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</si>
  <si>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</si>
  <si>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</si>
  <si>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</si>
  <si>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</si>
  <si>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</si>
  <si>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</si>
  <si>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</si>
  <si>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</si>
  <si>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</si>
  <si>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</si>
  <si>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</si>
  <si>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</si>
  <si>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</si>
  <si>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</si>
  <si>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</si>
  <si>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</si>
  <si>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</si>
  <si>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</si>
  <si>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</si>
  <si>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</si>
  <si>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</si>
  <si>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</si>
  <si>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</si>
  <si>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</si>
  <si>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</si>
  <si>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</si>
  <si>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</si>
  <si>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</si>
  <si>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</si>
  <si>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</si>
  <si>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</si>
  <si>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</si>
  <si>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</si>
  <si>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</si>
  <si>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</si>
  <si>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</si>
  <si>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</si>
  <si>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</si>
  <si>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</si>
  <si>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</si>
  <si>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</si>
  <si>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</si>
  <si>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</si>
  <si>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</si>
  <si>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</si>
  <si>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</si>
  <si>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</si>
  <si>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</si>
  <si>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</si>
  <si>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</si>
  <si>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</si>
  <si>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</si>
  <si>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</si>
  <si>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</si>
  <si>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</si>
  <si>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</si>
  <si>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</si>
  <si>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</si>
  <si>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</si>
  <si>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</si>
  <si>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</si>
  <si>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</si>
  <si>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</si>
  <si>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</si>
  <si>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</si>
  <si>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</si>
  <si>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</si>
  <si>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</si>
  <si>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</si>
  <si>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</si>
  <si>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</si>
  <si>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</si>
  <si>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</si>
  <si>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</si>
  <si>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</si>
  <si>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</si>
  <si>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</si>
  <si>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</si>
  <si>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</si>
  <si>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</si>
  <si>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</si>
  <si>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</si>
  <si>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</si>
  <si>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</si>
  <si>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</si>
  <si>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</si>
  <si>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</si>
  <si>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</si>
  <si>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</si>
  <si>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</si>
  <si>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</si>
  <si>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</si>
  <si>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</si>
  <si>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</si>
  <si>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</si>
  <si>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</si>
  <si>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</si>
  <si>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</si>
  <si>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</si>
  <si>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</si>
  <si>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</si>
  <si>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</si>
  <si>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</si>
  <si>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</si>
  <si>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</si>
  <si>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</si>
  <si>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</si>
  <si>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</si>
  <si>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</si>
  <si>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</si>
  <si>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</si>
  <si>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</si>
  <si>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</si>
  <si>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</si>
  <si>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</si>
  <si>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</si>
  <si>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</si>
  <si>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</si>
  <si>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</si>
  <si>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</si>
  <si>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</si>
  <si>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</si>
  <si>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</si>
  <si>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</si>
  <si>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</si>
  <si>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</si>
  <si>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</si>
  <si>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</si>
  <si>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</si>
  <si>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</si>
  <si>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</si>
  <si>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</si>
  <si>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</si>
  <si>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</si>
  <si>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</si>
  <si>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</si>
  <si>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</si>
  <si>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</si>
  <si>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</si>
  <si>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</si>
  <si>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</si>
  <si>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</si>
  <si>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</si>
  <si>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</si>
  <si>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</si>
  <si>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</si>
  <si>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</si>
  <si>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</si>
  <si>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</si>
  <si>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</si>
  <si>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</si>
  <si>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</si>
  <si>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</si>
  <si>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</si>
  <si>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</si>
  <si>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</si>
  <si>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</si>
  <si>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</si>
  <si>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</si>
  <si>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</si>
  <si>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</si>
  <si>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</si>
  <si>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</si>
  <si>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</si>
  <si>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</si>
  <si>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</si>
  <si>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</si>
  <si>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</si>
  <si>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</si>
  <si>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</si>
  <si>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</si>
  <si>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</si>
  <si>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</si>
  <si>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</si>
  <si>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</si>
  <si>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</si>
  <si>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</si>
  <si>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</si>
  <si>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</si>
  <si>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</si>
  <si>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</si>
  <si>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</si>
  <si>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</si>
  <si>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</si>
  <si>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</si>
  <si>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</si>
  <si>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</si>
  <si>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</si>
  <si>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</si>
  <si>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</si>
  <si>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</si>
  <si>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</si>
  <si>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</si>
  <si>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</si>
  <si>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</si>
  <si>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</si>
  <si>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</si>
  <si>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</si>
  <si>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</si>
  <si>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</si>
  <si>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</si>
  <si>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</si>
  <si>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</si>
  <si>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</si>
  <si>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</si>
  <si>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</si>
  <si>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</si>
  <si>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</si>
  <si>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</si>
  <si>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</si>
  <si>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</si>
  <si>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</si>
  <si>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</si>
  <si>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</si>
  <si>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</si>
  <si>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</si>
  <si>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</si>
  <si>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</si>
  <si>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</si>
  <si>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</si>
  <si>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</si>
  <si>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</si>
  <si>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</si>
  <si>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</si>
  <si>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</si>
  <si>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</si>
  <si>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</si>
  <si>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</si>
  <si>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</si>
  <si>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</si>
  <si>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</si>
  <si>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</si>
  <si>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</si>
  <si>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</si>
  <si>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</si>
  <si>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</si>
  <si>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</si>
  <si>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</si>
  <si>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</si>
  <si>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</si>
  <si>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</si>
  <si>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</si>
  <si>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</si>
  <si>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</si>
  <si>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</si>
  <si>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</si>
  <si>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</si>
  <si>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</si>
  <si>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</si>
  <si>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</si>
  <si>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</si>
  <si>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</si>
  <si>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</si>
  <si>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</si>
  <si>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</si>
  <si>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</si>
  <si>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</si>
  <si>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</si>
  <si>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</si>
  <si>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</si>
  <si>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</si>
  <si>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</si>
  <si>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</si>
  <si>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</si>
  <si>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</si>
  <si>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</si>
  <si>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</si>
  <si>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</si>
  <si>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</si>
  <si>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</si>
  <si>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</si>
  <si>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</si>
  <si>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</si>
  <si>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</si>
  <si>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</si>
  <si>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</si>
  <si>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</si>
  <si>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</si>
  <si>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</si>
  <si>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</si>
  <si>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</si>
  <si>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</si>
  <si>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</si>
  <si>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</si>
  <si>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</si>
  <si>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</si>
  <si>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</si>
  <si>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</si>
  <si>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</si>
  <si>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</si>
  <si>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</si>
  <si>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</si>
  <si>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</si>
  <si>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</si>
  <si>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</si>
  <si>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</si>
  <si>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</si>
  <si>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</si>
  <si>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</si>
  <si>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</si>
  <si>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</si>
  <si>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</si>
  <si>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</si>
  <si>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</si>
  <si>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</si>
  <si>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</si>
  <si>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</si>
  <si>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</si>
  <si>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</si>
  <si>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</si>
  <si>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</si>
  <si>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</si>
  <si>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</si>
  <si>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</si>
  <si>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</si>
  <si>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</si>
  <si>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</si>
  <si>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</si>
  <si>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</si>
  <si>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</si>
  <si>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</si>
  <si>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</si>
  <si>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</si>
  <si>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</si>
  <si>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</si>
  <si>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</si>
  <si>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</si>
  <si>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</si>
  <si>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</si>
  <si>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</si>
  <si>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</si>
  <si>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</si>
  <si>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</si>
  <si>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</si>
  <si>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</si>
  <si>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</si>
  <si>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</si>
  <si>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</si>
  <si>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</si>
  <si>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</si>
  <si>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</si>
  <si>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</si>
  <si>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</si>
  <si>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</si>
  <si>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</si>
  <si>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</si>
  <si>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</si>
  <si>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</si>
  <si>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</si>
  <si>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</si>
  <si>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</si>
  <si>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</si>
  <si>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</si>
  <si>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</si>
  <si>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</si>
  <si>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</si>
  <si>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</si>
  <si>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</si>
  <si>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</si>
  <si>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</si>
  <si>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</si>
  <si>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</si>
  <si>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</si>
  <si>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</si>
  <si>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</si>
  <si>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</si>
  <si>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</si>
  <si>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</si>
  <si>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</si>
  <si>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</si>
  <si>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</si>
  <si>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</si>
  <si>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</si>
  <si>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</si>
  <si>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</si>
  <si>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</si>
  <si>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</si>
  <si>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</si>
  <si>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</si>
  <si>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</si>
  <si>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</si>
  <si>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</si>
  <si>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</si>
  <si>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</si>
  <si>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</si>
  <si>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</si>
  <si>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</si>
  <si>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</si>
  <si>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</si>
  <si>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</si>
  <si>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</si>
  <si>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</si>
  <si>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</si>
  <si>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</si>
  <si>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</si>
  <si>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</si>
  <si>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</si>
  <si>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</si>
  <si>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</si>
  <si>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</si>
  <si>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</si>
  <si>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</si>
  <si>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</si>
  <si>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</si>
  <si>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</si>
  <si>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</si>
  <si>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</si>
  <si>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</si>
  <si>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</si>
  <si>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</si>
  <si>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</si>
  <si>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</si>
  <si>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</si>
  <si>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</si>
  <si>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</si>
  <si>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</si>
  <si>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</si>
  <si>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</si>
  <si>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</si>
  <si>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</si>
  <si>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</si>
  <si>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</si>
  <si>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</si>
  <si>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</si>
  <si>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</si>
  <si>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</si>
  <si>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</si>
  <si>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</si>
  <si>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</si>
  <si>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</si>
  <si>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</si>
  <si>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</si>
  <si>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</si>
  <si>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</si>
  <si>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</si>
  <si>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</si>
  <si>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</si>
  <si>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</si>
  <si>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</si>
  <si>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</si>
  <si>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</si>
  <si>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</si>
  <si>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</si>
  <si>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</si>
  <si>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</si>
  <si>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</si>
  <si>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</si>
  <si>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</si>
  <si>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</si>
  <si>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</si>
  <si>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</si>
  <si>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</si>
  <si>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</si>
  <si>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</si>
  <si>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</si>
  <si>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</si>
  <si>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</si>
  <si>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</si>
  <si>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</si>
  <si>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</si>
  <si>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</si>
  <si>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</si>
  <si>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</si>
  <si>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</si>
  <si>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</si>
  <si>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</si>
  <si>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</si>
  <si>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</si>
  <si>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</si>
  <si>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</si>
  <si>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</si>
  <si>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</si>
  <si>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</si>
  <si>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</si>
  <si>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</si>
  <si>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</si>
  <si>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</si>
  <si>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</si>
  <si>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</si>
  <si>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</si>
  <si>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</si>
  <si>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</si>
  <si>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</si>
  <si>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</si>
  <si>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</si>
  <si>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</si>
  <si>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</si>
  <si>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</si>
  <si>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</si>
  <si>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</si>
  <si>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</si>
  <si>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</si>
  <si>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</si>
  <si>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</si>
  <si>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</si>
  <si>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</si>
  <si>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</si>
  <si>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</si>
  <si>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</si>
  <si>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</si>
  <si>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</si>
  <si>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</si>
  <si>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</si>
  <si>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</si>
  <si>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</si>
  <si>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</si>
  <si>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</si>
  <si>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</si>
  <si>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</si>
  <si>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</si>
  <si>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</si>
  <si>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</si>
  <si>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</si>
  <si>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</si>
  <si>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</si>
  <si>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</si>
  <si>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</si>
  <si>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</si>
  <si>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</si>
  <si>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</si>
  <si>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</si>
  <si>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</si>
  <si>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</si>
  <si>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</si>
  <si>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</si>
  <si>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</si>
  <si>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</si>
  <si>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</si>
  <si>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</si>
  <si>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</si>
  <si>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</si>
  <si>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</si>
  <si>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</si>
  <si>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</si>
  <si>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</si>
  <si>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</si>
  <si>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</si>
  <si>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</si>
  <si>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</si>
  <si>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</si>
  <si>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</si>
  <si>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</si>
  <si>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</si>
  <si>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</si>
  <si>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</si>
  <si>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</si>
  <si>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</si>
  <si>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</si>
  <si>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</si>
  <si>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</si>
  <si>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</si>
  <si>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</si>
  <si>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</si>
  <si>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</si>
  <si>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</si>
  <si>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</si>
  <si>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</si>
  <si>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</si>
  <si>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</si>
  <si>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</si>
  <si>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</si>
  <si>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</si>
  <si>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</si>
  <si>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</si>
  <si>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</si>
  <si>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</si>
  <si>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</si>
  <si>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</si>
  <si>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</si>
  <si>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</si>
  <si>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</si>
  <si>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</si>
  <si>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</si>
  <si>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</si>
  <si>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</si>
  <si>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</si>
  <si>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</si>
  <si>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</si>
  <si>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</si>
  <si>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</si>
  <si>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</si>
  <si>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</si>
  <si>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</si>
  <si>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</si>
  <si>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</si>
  <si>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</si>
  <si>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</si>
  <si>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</si>
  <si>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</si>
  <si>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</si>
  <si>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</si>
  <si>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</si>
  <si>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</si>
  <si>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</si>
  <si>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</si>
  <si>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</si>
  <si>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</si>
  <si>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</si>
  <si>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</si>
  <si>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</si>
  <si>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</si>
  <si>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</si>
  <si>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</si>
  <si>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</si>
  <si>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</si>
  <si>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</si>
  <si>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</si>
  <si>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</si>
  <si>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</si>
  <si>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</si>
  <si>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</si>
  <si>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</si>
  <si>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</si>
  <si>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</si>
  <si>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</si>
  <si>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</si>
  <si>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</si>
  <si>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</si>
  <si>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</si>
  <si>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</si>
  <si>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</si>
  <si>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</si>
  <si>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</si>
  <si>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</si>
  <si>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</si>
  <si>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</si>
  <si>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</si>
  <si>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</si>
  <si>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</si>
  <si>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</si>
  <si>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</si>
  <si>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</si>
  <si>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</si>
  <si>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</si>
  <si>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</si>
  <si>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</si>
  <si>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</si>
  <si>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</si>
  <si>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</si>
  <si>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</si>
  <si>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</si>
  <si>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</si>
  <si>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</si>
  <si>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</si>
  <si>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</si>
  <si>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</si>
  <si>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</si>
  <si>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</si>
  <si>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</si>
  <si>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</si>
  <si>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</si>
  <si>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</si>
  <si>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</si>
  <si>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</si>
  <si>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</si>
  <si>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</si>
  <si>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</si>
  <si>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</si>
  <si>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</si>
  <si>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</si>
  <si>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</si>
  <si>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</si>
  <si>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</si>
  <si>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</si>
  <si>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</si>
  <si>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</si>
  <si>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</si>
  <si>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</si>
  <si>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</si>
  <si>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</si>
  <si>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</si>
  <si>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</si>
  <si>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</si>
  <si>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</si>
  <si>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</si>
  <si>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</si>
  <si>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</si>
  <si>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</si>
  <si>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</si>
  <si>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</si>
  <si>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</si>
  <si>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</si>
  <si>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</si>
  <si>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</si>
  <si>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</si>
  <si>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</si>
  <si>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</si>
  <si>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</si>
  <si>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</si>
  <si>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</si>
  <si>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</si>
  <si>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</si>
  <si>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</si>
  <si>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</si>
  <si>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</si>
  <si>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</si>
  <si>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</si>
  <si>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</si>
  <si>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</si>
  <si>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</si>
  <si>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</si>
  <si>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</si>
  <si>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</si>
  <si>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</si>
  <si>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</si>
  <si>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</si>
  <si>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</si>
  <si>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</si>
  <si>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</si>
  <si>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</si>
  <si>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</si>
  <si>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</si>
  <si>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</si>
  <si>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</si>
  <si>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</si>
  <si>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</si>
  <si>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</si>
  <si>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</si>
  <si>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</si>
  <si>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</si>
  <si>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</si>
  <si>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</si>
  <si>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</si>
  <si>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</si>
  <si>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</si>
  <si>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</si>
  <si>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</si>
  <si>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</si>
  <si>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</si>
  <si>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</si>
  <si>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</si>
  <si>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</si>
  <si>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</si>
  <si>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</si>
  <si>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</si>
  <si>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</si>
  <si>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</si>
  <si>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</si>
  <si>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</si>
  <si>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</si>
  <si>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</si>
  <si>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</si>
  <si>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</si>
  <si>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</si>
  <si>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</si>
  <si>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</si>
  <si>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</si>
  <si>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</si>
  <si>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</si>
  <si>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</si>
  <si>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</si>
  <si>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</si>
  <si>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</si>
  <si>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</si>
  <si>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</si>
  <si>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</si>
  <si>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</si>
  <si>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</si>
  <si>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</si>
  <si>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</si>
  <si>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</si>
  <si>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</si>
  <si>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</si>
  <si>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</si>
  <si>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</si>
  <si>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</si>
  <si>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</si>
  <si>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</si>
  <si>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</si>
  <si>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</si>
  <si>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</si>
  <si>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</si>
  <si>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</si>
  <si>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</si>
  <si>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</si>
  <si>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</si>
  <si>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</si>
  <si>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</si>
  <si>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</si>
  <si>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</si>
  <si>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</si>
  <si>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</si>
  <si>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</si>
  <si>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</si>
  <si>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</si>
  <si>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</si>
  <si>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</si>
  <si>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</si>
  <si>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</si>
  <si>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</si>
  <si>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</si>
  <si>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</si>
  <si>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</si>
  <si>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</si>
  <si>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</si>
  <si>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</si>
  <si>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</si>
  <si>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</si>
  <si>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</si>
  <si>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</si>
  <si>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</si>
  <si>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</si>
  <si>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</si>
  <si>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</si>
  <si>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</si>
  <si>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</si>
  <si>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</si>
  <si>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</si>
  <si>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</si>
  <si>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</si>
  <si>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</si>
  <si>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</si>
  <si>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</si>
  <si>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</si>
  <si>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</si>
  <si>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</si>
  <si>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</si>
  <si>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</si>
  <si>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</si>
  <si>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</si>
  <si>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</si>
  <si>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</si>
  <si>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</si>
  <si>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</si>
  <si>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</si>
  <si>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</si>
  <si>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</si>
  <si>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</si>
  <si>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</si>
  <si>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</si>
  <si>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</si>
  <si>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</si>
  <si>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</si>
  <si>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</si>
  <si>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</si>
  <si>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</si>
  <si>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</si>
  <si>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</si>
  <si>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</si>
  <si>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</si>
  <si>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</si>
  <si>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</si>
  <si>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</si>
  <si>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</si>
  <si>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</si>
  <si>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</si>
  <si>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</si>
  <si>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</si>
  <si>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</si>
  <si>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</si>
  <si>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</si>
  <si>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</si>
  <si>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</si>
  <si>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</si>
  <si>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</si>
  <si>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</si>
  <si>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</si>
  <si>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</si>
  <si>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</si>
  <si>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</si>
  <si>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</si>
  <si>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</si>
  <si>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</si>
  <si>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</si>
  <si>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</si>
  <si>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</si>
  <si>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</si>
  <si>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</si>
  <si>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</si>
  <si>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</si>
  <si>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</si>
  <si>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</si>
  <si>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</si>
  <si>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</si>
  <si>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</si>
  <si>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</si>
  <si>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</si>
  <si>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</si>
  <si>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</si>
  <si>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</si>
  <si>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</si>
  <si>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</si>
  <si>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</si>
  <si>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</si>
  <si>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</si>
  <si>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</si>
  <si>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</si>
  <si>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</si>
  <si>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</si>
  <si>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</si>
  <si>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</si>
  <si>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</si>
  <si>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</si>
  <si>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</si>
  <si>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</si>
  <si>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</si>
  <si>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</si>
  <si>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</si>
  <si>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</si>
  <si>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</si>
  <si>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</si>
  <si>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</si>
  <si>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</si>
  <si>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</si>
  <si>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</si>
  <si>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</si>
  <si>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</si>
  <si>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</si>
  <si>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</si>
  <si>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</si>
  <si>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</si>
  <si>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</si>
  <si>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</si>
  <si>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</si>
  <si>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</si>
  <si>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</si>
  <si>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</si>
  <si>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</si>
  <si>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</si>
  <si>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</si>
  <si>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</si>
  <si>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</si>
  <si>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</si>
  <si>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</si>
  <si>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</si>
  <si>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</si>
  <si>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</si>
  <si>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</si>
  <si>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</si>
  <si>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</si>
  <si>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</si>
  <si>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</si>
  <si>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</si>
  <si>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</si>
  <si>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</si>
  <si>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</si>
  <si>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</si>
  <si>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</si>
  <si>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</si>
  <si>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</si>
  <si>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</si>
  <si>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</si>
  <si>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</si>
  <si>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</si>
  <si>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</si>
  <si>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</si>
  <si>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</si>
  <si>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</si>
  <si>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</si>
  <si>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</si>
  <si>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</si>
  <si>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</si>
  <si>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</si>
  <si>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</si>
  <si>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</si>
  <si>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</si>
  <si>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</si>
  <si>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</si>
  <si>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</si>
  <si>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</si>
  <si>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</si>
  <si>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</si>
  <si>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</si>
  <si>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</si>
  <si>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</si>
  <si>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</si>
  <si>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</si>
  <si>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</si>
  <si>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</si>
  <si>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</si>
  <si>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</si>
  <si>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</si>
  <si>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</si>
  <si>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</si>
  <si>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</si>
  <si>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</si>
  <si>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</si>
  <si>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</si>
  <si>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</si>
  <si>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</si>
  <si>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</si>
  <si>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</si>
  <si>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</si>
  <si>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</si>
  <si>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</si>
  <si>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</si>
  <si>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</si>
  <si>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</si>
  <si>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</si>
  <si>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</si>
  <si>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</si>
  <si>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</si>
  <si>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</si>
  <si>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</si>
  <si>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</si>
  <si>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</si>
  <si>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</si>
  <si>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</si>
  <si>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</si>
  <si>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</si>
  <si>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</si>
  <si>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</si>
  <si>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</si>
  <si>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</si>
  <si>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</si>
  <si>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</si>
  <si>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</si>
  <si>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</si>
  <si>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</si>
  <si>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</si>
  <si>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</si>
  <si>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</si>
  <si>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</si>
  <si>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</si>
  <si>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</si>
  <si>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</si>
  <si>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</si>
  <si>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</si>
  <si>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</si>
  <si>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</si>
  <si>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</si>
  <si>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</si>
  <si>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</si>
  <si>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</si>
  <si>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</si>
  <si>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</si>
  <si>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</si>
  <si>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</si>
  <si>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</si>
  <si>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</si>
  <si>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</si>
  <si>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</si>
  <si>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</si>
  <si>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</si>
  <si>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</si>
  <si>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</si>
  <si>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</si>
  <si>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</si>
  <si>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</si>
  <si>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</si>
  <si>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</si>
  <si>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</si>
  <si>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</si>
  <si>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</si>
  <si>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</si>
  <si>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</si>
  <si>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</si>
  <si>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</si>
  <si>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</si>
  <si>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</si>
  <si>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</si>
  <si>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</si>
  <si>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</si>
  <si>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</si>
  <si>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</si>
  <si>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</si>
  <si>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</si>
  <si>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</si>
  <si>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</si>
  <si>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</si>
  <si>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</si>
  <si>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</si>
  <si>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</si>
  <si>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</si>
  <si>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</si>
  <si>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</si>
  <si>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</si>
  <si>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</si>
  <si>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</si>
  <si>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</si>
  <si>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</si>
  <si>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</si>
  <si>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</si>
  <si>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</si>
  <si>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</si>
  <si>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</si>
  <si>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</si>
  <si>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</si>
  <si>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</si>
  <si>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</si>
  <si>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</si>
  <si>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</si>
  <si>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</si>
  <si>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</si>
  <si>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</si>
  <si>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</si>
  <si>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</si>
  <si>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</si>
  <si>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</si>
  <si>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</si>
  <si>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</si>
  <si>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</si>
  <si>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</si>
  <si>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</si>
  <si>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</si>
  <si>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</si>
  <si>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</si>
  <si>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</si>
  <si>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</si>
  <si>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</si>
  <si>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</si>
  <si>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</si>
  <si>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</si>
  <si>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</si>
  <si>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</si>
  <si>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</si>
  <si>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</si>
  <si>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</si>
  <si>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</si>
  <si>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</si>
  <si>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</si>
  <si>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</si>
  <si>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</si>
  <si>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</si>
  <si>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</si>
  <si>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</si>
  <si>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</si>
  <si>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</si>
  <si>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</si>
  <si>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</si>
  <si>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</si>
  <si>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</si>
  <si>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</si>
  <si>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</si>
  <si>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</si>
  <si>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</si>
  <si>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</si>
  <si>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</si>
  <si>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</si>
  <si>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</si>
  <si>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</si>
  <si>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</si>
  <si>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</si>
  <si>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</si>
  <si>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</si>
  <si>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</si>
  <si>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</si>
  <si>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</si>
  <si>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</si>
  <si>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</si>
  <si>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</si>
  <si>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</si>
  <si>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</si>
  <si>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</si>
  <si>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</si>
  <si>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</si>
  <si>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</si>
  <si>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</si>
  <si>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</si>
  <si>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</si>
  <si>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</si>
  <si>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</si>
  <si>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</si>
  <si>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</si>
  <si>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</si>
  <si>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</si>
  <si>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</si>
  <si>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</si>
  <si>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</si>
  <si>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</si>
  <si>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</si>
  <si>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</si>
  <si>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</si>
  <si>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</si>
  <si>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</si>
  <si>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</si>
  <si>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</si>
  <si>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</si>
  <si>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</si>
  <si>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</si>
  <si>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</si>
  <si>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</si>
  <si>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</si>
  <si>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</si>
  <si>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</si>
  <si>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</si>
  <si>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</si>
  <si>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</si>
  <si>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</si>
  <si>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</si>
  <si>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</si>
  <si>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</si>
  <si>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</si>
  <si>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</si>
  <si>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</si>
  <si>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</si>
  <si>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</si>
  <si>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</si>
  <si>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</si>
  <si>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</si>
  <si>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</si>
  <si>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</si>
  <si>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</si>
  <si>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</si>
  <si>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</si>
  <si>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</si>
  <si>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</si>
  <si>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</si>
  <si>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</si>
  <si>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</si>
  <si>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</si>
  <si>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</si>
  <si>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</si>
  <si>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</si>
  <si>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</si>
  <si>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</si>
  <si>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</si>
  <si>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</si>
  <si>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</si>
  <si>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</si>
  <si>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</si>
  <si>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</si>
  <si>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</si>
  <si>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</si>
  <si>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</si>
  <si>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</si>
  <si>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</si>
  <si>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</si>
  <si>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</si>
  <si>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</si>
  <si>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</si>
  <si>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</si>
  <si>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</si>
  <si>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</si>
  <si>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</si>
  <si>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</si>
  <si>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</si>
  <si>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</si>
  <si>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</si>
  <si>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</si>
  <si>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</si>
  <si>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</si>
  <si>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</si>
  <si>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</si>
  <si>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</si>
  <si>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</si>
  <si>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</si>
  <si>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</si>
  <si>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</si>
  <si>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</si>
  <si>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</si>
  <si>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</si>
  <si>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</si>
  <si>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</si>
  <si>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</si>
  <si>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</si>
  <si>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</si>
  <si>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</si>
  <si>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</si>
  <si>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</si>
  <si>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</si>
  <si>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</si>
  <si>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</si>
  <si>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</si>
  <si>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</si>
  <si>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</si>
  <si>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</si>
  <si>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</si>
  <si>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</si>
  <si>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</si>
  <si>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</si>
  <si>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</si>
  <si>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</si>
  <si>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</si>
  <si>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</si>
  <si>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</si>
  <si>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</si>
  <si>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</si>
  <si>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</si>
  <si>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</si>
  <si>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</si>
  <si>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</si>
  <si>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</si>
  <si>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</si>
  <si>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</si>
  <si>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</si>
  <si>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</si>
  <si>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</si>
  <si>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</si>
  <si>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</si>
  <si>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</si>
  <si>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</si>
  <si>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</si>
  <si>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</si>
  <si>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</si>
  <si>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</si>
  <si>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</si>
  <si>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</si>
  <si>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</si>
  <si>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</si>
  <si>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</si>
  <si>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</si>
  <si>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</si>
  <si>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</si>
  <si>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</si>
  <si>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</si>
  <si>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</si>
  <si>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</si>
  <si>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</si>
  <si>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</si>
  <si>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</si>
  <si>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</si>
  <si>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</si>
  <si>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</si>
  <si>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</si>
  <si>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</si>
  <si>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</si>
  <si>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</si>
  <si>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</si>
  <si>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</si>
  <si>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</si>
  <si>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</si>
  <si>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</si>
  <si>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</si>
  <si>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</si>
  <si>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</si>
  <si>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</si>
  <si>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</si>
  <si>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</si>
  <si>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</si>
  <si>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</si>
  <si>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</si>
  <si>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</si>
  <si>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</si>
  <si>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</si>
  <si>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</si>
  <si>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</si>
  <si>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</si>
  <si>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</si>
  <si>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</si>
  <si>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</si>
  <si>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</si>
  <si>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</si>
  <si>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</si>
  <si>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</si>
  <si>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</si>
  <si>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</si>
  <si>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</si>
  <si>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</si>
  <si>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</si>
  <si>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</si>
  <si>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</si>
  <si>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</si>
  <si>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</si>
  <si>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</si>
  <si>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</si>
  <si>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</si>
  <si>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</si>
  <si>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</si>
  <si>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</si>
  <si>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</si>
  <si>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</si>
  <si>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</si>
  <si>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</si>
  <si>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</si>
  <si>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</si>
  <si>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</si>
  <si>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</si>
  <si>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</si>
  <si>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</si>
  <si>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</si>
  <si>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</si>
  <si>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</si>
  <si>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</si>
  <si>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</si>
  <si>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</si>
  <si>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</si>
  <si>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</si>
  <si>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</si>
  <si>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</si>
  <si>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</si>
  <si>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</si>
  <si>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</si>
  <si>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</si>
  <si>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</si>
  <si>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</si>
  <si>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</si>
  <si>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</si>
  <si>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</si>
  <si>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</si>
  <si>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</si>
  <si>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</si>
  <si>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</si>
  <si>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</si>
  <si>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</si>
  <si>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</si>
  <si>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</si>
  <si>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</si>
  <si>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</si>
  <si>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</si>
  <si>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</si>
  <si>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</si>
  <si>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</si>
  <si>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</si>
  <si>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</si>
  <si>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</si>
  <si>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</si>
  <si>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</si>
  <si>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</si>
  <si>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</si>
  <si>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</si>
  <si>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</si>
  <si>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</si>
  <si>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</si>
  <si>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</si>
  <si>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</si>
  <si>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</si>
  <si>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</si>
  <si>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</si>
  <si>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</si>
  <si>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</si>
  <si>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</si>
  <si>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</si>
  <si>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</si>
  <si>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</si>
  <si>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</si>
  <si>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</si>
  <si>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</si>
  <si>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</si>
  <si>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</si>
  <si>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</si>
  <si>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</si>
  <si>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</si>
  <si>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</si>
  <si>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</si>
  <si>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</si>
  <si>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</si>
  <si>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</si>
  <si>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</si>
  <si>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</si>
  <si>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</si>
  <si>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</si>
  <si>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</si>
  <si>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</si>
  <si>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</si>
  <si>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</si>
  <si>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</si>
  <si>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</si>
  <si>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</si>
  <si>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</si>
  <si>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</si>
  <si>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</si>
  <si>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</si>
  <si>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</si>
  <si>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</si>
  <si>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</si>
  <si>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</si>
  <si>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</si>
  <si>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</si>
  <si>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</si>
  <si>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</si>
  <si>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</si>
  <si>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</si>
  <si>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</si>
  <si>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</si>
  <si>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</si>
  <si>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</si>
  <si>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</si>
  <si>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</si>
  <si>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</si>
  <si>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</si>
  <si>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</si>
  <si>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</si>
  <si>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</si>
  <si>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</si>
  <si>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</si>
  <si>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</si>
  <si>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</si>
  <si>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</si>
  <si>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</si>
  <si>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</si>
  <si>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</si>
  <si>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</si>
  <si>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</si>
  <si>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</si>
  <si>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</si>
  <si>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</si>
  <si>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</si>
  <si>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</si>
  <si>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</si>
  <si>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</si>
  <si>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</si>
  <si>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</si>
  <si>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</si>
  <si>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</si>
  <si>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</si>
  <si>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</si>
  <si>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</si>
  <si>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</si>
  <si>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</si>
  <si>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</si>
  <si>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</si>
  <si>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</si>
  <si>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</si>
  <si>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</si>
  <si>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</si>
  <si>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</si>
  <si>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</si>
  <si>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</si>
  <si>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</si>
  <si>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</si>
  <si>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</si>
  <si>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</si>
  <si>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</si>
  <si>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</si>
  <si>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</si>
  <si>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</si>
  <si>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</si>
  <si>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</si>
  <si>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</si>
  <si>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</si>
  <si>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</si>
  <si>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</si>
  <si>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</si>
  <si>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</si>
  <si>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</si>
  <si>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</si>
  <si>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</si>
  <si>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</si>
  <si>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</si>
  <si>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</si>
  <si>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</si>
  <si>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</si>
  <si>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</si>
  <si>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</si>
  <si>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</si>
  <si>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</si>
  <si>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</si>
  <si>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</si>
  <si>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</si>
  <si>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</si>
  <si>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</si>
  <si>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</si>
  <si>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</si>
  <si>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</si>
  <si>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</si>
  <si>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</si>
  <si>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</si>
  <si>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</si>
  <si>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</si>
  <si>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Note 3:  Subrecipients</t>
  </si>
  <si>
    <t>Subrecipient</t>
  </si>
  <si>
    <t>Total Non-Cash</t>
  </si>
  <si>
    <t>•  Noncompliance material to the financial statements noted?</t>
  </si>
  <si>
    <t>AMOUNT OF FEDERAL PROGRAM</t>
  </si>
  <si>
    <t>Total Amount Tested as Major</t>
  </si>
  <si>
    <t>% tested as Major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</si>
  <si>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</si>
  <si>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</si>
  <si>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</si>
  <si>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</si>
  <si>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</si>
  <si>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</si>
  <si>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</si>
  <si>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</si>
  <si>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</si>
  <si>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</si>
  <si>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</si>
  <si>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</si>
  <si>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</si>
  <si>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</si>
  <si>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</si>
  <si>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</si>
  <si>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</si>
  <si>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</si>
  <si>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</si>
  <si>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</si>
  <si>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</si>
  <si>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</si>
  <si>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</si>
  <si>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</si>
  <si>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</si>
  <si>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</si>
  <si>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</si>
  <si>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</si>
  <si>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</si>
  <si>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</si>
  <si>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</si>
  <si>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</si>
  <si>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</si>
  <si>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</si>
  <si>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</si>
  <si>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</si>
  <si>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</si>
  <si>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</si>
  <si>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</si>
  <si>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</si>
  <si>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</si>
  <si>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</si>
  <si>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</si>
  <si>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</si>
  <si>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</si>
  <si>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</si>
  <si>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</si>
  <si>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</si>
  <si>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</si>
  <si>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</si>
  <si>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</si>
  <si>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</si>
  <si>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</si>
  <si>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</si>
  <si>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</si>
  <si>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</si>
  <si>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</si>
  <si>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</si>
  <si>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</si>
  <si>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</si>
  <si>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</si>
  <si>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</si>
  <si>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</si>
  <si>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</si>
  <si>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</si>
  <si>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</si>
  <si>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</si>
  <si>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</si>
  <si>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</si>
  <si>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</si>
  <si>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</si>
  <si>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</si>
  <si>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</si>
  <si>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</si>
  <si>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</si>
  <si>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</si>
  <si>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</si>
  <si>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</si>
  <si>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</si>
  <si>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</si>
  <si>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</si>
  <si>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</si>
  <si>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</si>
  <si>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</si>
  <si>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</si>
  <si>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</si>
  <si>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</si>
  <si>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</si>
  <si>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</si>
  <si>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</si>
  <si>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</si>
  <si>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</si>
  <si>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</si>
  <si>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</si>
  <si>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</si>
  <si>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</si>
  <si>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</si>
  <si>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</si>
  <si>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</si>
  <si>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</si>
  <si>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</si>
  <si>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</si>
  <si>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</si>
  <si>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</si>
  <si>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</si>
  <si>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</si>
  <si>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</si>
  <si>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</si>
  <si>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</si>
  <si>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</si>
  <si>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</si>
  <si>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</si>
  <si>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</si>
  <si>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</si>
  <si>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</si>
  <si>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</si>
  <si>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</si>
  <si>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</si>
  <si>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</si>
  <si>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</si>
  <si>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</si>
  <si>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</si>
  <si>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</si>
  <si>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</si>
  <si>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</si>
  <si>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</si>
  <si>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</si>
  <si>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</si>
  <si>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</si>
  <si>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</si>
  <si>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</si>
  <si>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</si>
  <si>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</si>
  <si>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</si>
  <si>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</si>
  <si>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</si>
  <si>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</si>
  <si>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</si>
  <si>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</si>
  <si>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</si>
  <si>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</si>
  <si>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</si>
  <si>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</si>
  <si>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</si>
  <si>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</si>
  <si>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</si>
  <si>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</si>
  <si>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</si>
  <si>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</si>
  <si>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</si>
  <si>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</si>
  <si>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</si>
  <si>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</si>
  <si>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[If there are no prior year audit findings, please submit schedule and indicate </t>
    </r>
    <r>
      <rPr>
        <b/>
        <sz val="9"/>
        <rFont val="Calibri"/>
        <family val="2"/>
        <scheme val="minor"/>
      </rPr>
      <t>NONE</t>
    </r>
    <r>
      <rPr>
        <sz val="9"/>
        <rFont val="Calibri"/>
        <family val="2"/>
        <scheme val="minor"/>
      </rPr>
      <t>]</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</si>
  <si>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</si>
  <si>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</si>
  <si>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</si>
  <si>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</si>
  <si>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</si>
  <si>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</si>
  <si>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</si>
  <si>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</si>
  <si>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</si>
  <si>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</si>
  <si>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</si>
  <si>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</si>
  <si>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</si>
  <si>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</si>
  <si>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</si>
  <si>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</si>
  <si>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</si>
  <si>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</si>
  <si>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</si>
  <si>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</si>
  <si>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</si>
  <si>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</si>
  <si>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</si>
  <si>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</si>
  <si>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</si>
  <si>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</si>
  <si>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</si>
  <si>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</si>
  <si>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</si>
  <si>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</si>
  <si>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</si>
  <si>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</si>
  <si>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</si>
  <si>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</si>
  <si>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</si>
  <si>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</si>
  <si>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</si>
  <si>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</si>
  <si>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</si>
  <si>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</si>
  <si>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</si>
  <si>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</si>
  <si>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</si>
  <si>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</si>
  <si>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</si>
  <si>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</si>
  <si>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</si>
  <si>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</si>
  <si>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</si>
  <si>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</si>
  <si>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</si>
  <si>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</si>
  <si>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</si>
  <si>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</si>
  <si>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</si>
  <si>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</si>
  <si>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</si>
  <si>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</si>
  <si>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</si>
  <si>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</si>
  <si>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</si>
  <si>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</si>
  <si>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</si>
  <si>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</si>
  <si>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</si>
  <si>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</si>
  <si>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</si>
  <si>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</si>
  <si>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</si>
  <si>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</si>
  <si>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</si>
  <si>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</si>
  <si>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</si>
  <si>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</si>
  <si>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</si>
  <si>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</si>
  <si>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</si>
  <si>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</si>
  <si>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</si>
  <si>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</si>
  <si>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</si>
  <si>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</si>
  <si>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</si>
  <si>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</si>
  <si>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</si>
  <si>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</si>
  <si>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</si>
  <si>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</si>
  <si>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</si>
  <si>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</si>
  <si>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</si>
  <si>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</si>
  <si>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</si>
  <si>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</si>
  <si>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</si>
  <si>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</si>
  <si>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</si>
  <si>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</si>
  <si>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</si>
  <si>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</si>
  <si>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</si>
  <si>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</si>
  <si>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</si>
  <si>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</si>
  <si>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</si>
  <si>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</si>
  <si>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</si>
  <si>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</si>
  <si>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</si>
  <si>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</si>
  <si>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</si>
  <si>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</si>
  <si>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</si>
  <si>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</si>
  <si>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</si>
  <si>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</si>
  <si>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</si>
  <si>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</si>
  <si>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</si>
  <si>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</si>
  <si>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</si>
  <si>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</si>
  <si>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</si>
  <si>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</si>
  <si>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</si>
  <si>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</si>
  <si>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</si>
  <si>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</si>
  <si>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</si>
  <si>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</si>
  <si>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</si>
  <si>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</si>
  <si>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</si>
  <si>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</si>
  <si>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</si>
  <si>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</si>
  <si>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</si>
  <si>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</si>
  <si>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</si>
  <si>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</si>
  <si>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</si>
  <si>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</si>
  <si>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</si>
  <si>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</si>
  <si>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</si>
  <si>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</si>
  <si>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</si>
  <si>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</si>
  <si>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</si>
  <si>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</si>
  <si>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</si>
  <si>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</si>
  <si>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</si>
  <si>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</si>
  <si>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</si>
  <si>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</si>
  <si>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</si>
  <si>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</si>
  <si>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</si>
  <si>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</si>
  <si>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</si>
  <si>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</si>
  <si>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</si>
  <si>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</si>
  <si>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</si>
  <si>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</si>
  <si>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</si>
  <si>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</si>
  <si>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</si>
  <si>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</si>
  <si>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</si>
  <si>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</si>
  <si>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</si>
  <si>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</si>
  <si>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</si>
  <si>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</si>
  <si>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</si>
  <si>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</si>
  <si>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</si>
  <si>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</si>
  <si>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</si>
  <si>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</si>
  <si>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</si>
  <si>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</si>
  <si>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</si>
  <si>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</si>
  <si>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</si>
  <si>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</si>
  <si>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</si>
  <si>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</si>
  <si>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</si>
  <si>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</si>
  <si>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</si>
  <si>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</si>
  <si>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</si>
  <si>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</si>
  <si>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</si>
  <si>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</si>
  <si>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</si>
  <si>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</si>
  <si>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</si>
  <si>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</si>
  <si>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BUREAU</t>
  </si>
  <si>
    <t>400 GALENA ST., PO BOX 239</t>
  </si>
  <si>
    <t>TISKILWA</t>
  </si>
  <si>
    <t>tricountyse5@gmail.com</t>
  </si>
  <si>
    <t>HOPKINS &amp; ASSOCIATES, CPAS</t>
  </si>
  <si>
    <t>JOEL HOPKINS</t>
  </si>
  <si>
    <t>314 S. MCCOY ST.</t>
  </si>
  <si>
    <t>GRANVILLE</t>
  </si>
  <si>
    <t>IL</t>
  </si>
  <si>
    <t>815-339-6630</t>
  </si>
  <si>
    <t>815-339-6643</t>
  </si>
  <si>
    <t>joel@hopkinsoffice.com</t>
  </si>
  <si>
    <t>GWEN GARVER</t>
  </si>
  <si>
    <t>815-646-8031</t>
  </si>
  <si>
    <t>GASB 75 OMISSION</t>
  </si>
  <si>
    <t>Many Local School Districts are provided service by BMP Special Ed Coop</t>
  </si>
  <si>
    <t>Other Local Revenue - 1999 - Reimbursements</t>
  </si>
  <si>
    <t>Other Payment to Government - 4190-600 - Infinitec Assessment</t>
  </si>
  <si>
    <t>ED - Sup Svc - Business - O&amp;M Plant Services</t>
  </si>
  <si>
    <t>10-2540-300</t>
  </si>
  <si>
    <t>Princeton Elementary #115 (Rent)</t>
  </si>
  <si>
    <t xml:space="preserve">Illinois School District Insurance </t>
  </si>
  <si>
    <t>Marco, Inc.</t>
  </si>
  <si>
    <t>The accompanying Schedule of Expenditures of Federal Awards includes the federal grant activity of B-M-P Tri-County Special Education Cooperative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</si>
  <si>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B-M-P Special Education Cooperative provided federal awards to subrecipients as follows:</t>
  </si>
  <si>
    <t>US DEPARTMENT of EDUCATION</t>
  </si>
  <si>
    <t>Passed Through ISBE:</t>
  </si>
  <si>
    <t xml:space="preserve">   Special Ed IDEA Part B Pre School</t>
  </si>
  <si>
    <t xml:space="preserve">   Special Ed IDEA Part B Pre School (M)</t>
  </si>
  <si>
    <t xml:space="preserve">   Special Ed IDEA Part B Discretionary Flow Through</t>
  </si>
  <si>
    <t xml:space="preserve">   Special Ed IDEA Part B Discretionary Flow Through (M)</t>
  </si>
  <si>
    <t xml:space="preserve">     TOTAL USDE FLOW THROUGHS</t>
  </si>
  <si>
    <t>US DEPARTMENT OF HEALTH AND HUMAN SERVICES</t>
  </si>
  <si>
    <t>Passed Through IL Dept of Health and Family Services</t>
  </si>
  <si>
    <t xml:space="preserve">   Medicaid Administrative Services</t>
  </si>
  <si>
    <t xml:space="preserve">     TOTAL USDHHS FLOWTHROUGHS</t>
  </si>
  <si>
    <t xml:space="preserve">     TOTAL ALL FEDERAL SOURCES</t>
  </si>
  <si>
    <t>84.173A</t>
  </si>
  <si>
    <t>84.027A</t>
  </si>
  <si>
    <t>2017-4600-0</t>
  </si>
  <si>
    <t>2018-4600-0</t>
  </si>
  <si>
    <t>2017-4620-0</t>
  </si>
  <si>
    <t>2018-4620-0</t>
  </si>
  <si>
    <t>2017-4991</t>
  </si>
  <si>
    <t>2018-4991</t>
  </si>
  <si>
    <t>2016-4600-0</t>
  </si>
  <si>
    <t xml:space="preserve">   Special Ed IDEA Part B Discretiionary Flow Through</t>
  </si>
  <si>
    <t>2016-4620-0</t>
  </si>
  <si>
    <t>IDEA Flow Thru Discretionary - Princeton Elementary</t>
  </si>
  <si>
    <t>IDEA Flow Thru Discretionary - Spring Valley Elementary</t>
  </si>
  <si>
    <t>IDEA Flow Thru Discretionary - Hall High School</t>
  </si>
  <si>
    <t>Unmodified</t>
  </si>
  <si>
    <t>84.027A and 84.173A</t>
  </si>
  <si>
    <t>USDE, Special Ed IDEA Flow Through Grants</t>
  </si>
  <si>
    <t>N/A</t>
  </si>
  <si>
    <t>NONE</t>
  </si>
  <si>
    <t>Current Status</t>
  </si>
  <si>
    <t>SUMMARY SCHEDULE OF PRIOR AUDIT FINDINGS</t>
  </si>
  <si>
    <t>1. FINDING NUMBER:</t>
  </si>
  <si>
    <t>9. Condition</t>
  </si>
  <si>
    <t>10. Questioned Costs</t>
  </si>
  <si>
    <t>11. Context</t>
  </si>
  <si>
    <t>15. Management's response</t>
  </si>
  <si>
    <t>1.  FINDING NUMBER:</t>
  </si>
  <si>
    <t>5. Context</t>
  </si>
  <si>
    <t>9.  Management's response</t>
  </si>
  <si>
    <t>IDENTIFICATION OF MAJOR PROGRAMS:</t>
  </si>
  <si>
    <t>CFDA NUMBER(S)</t>
  </si>
  <si>
    <t>NAME OF FEDERAL PROGRAM or CLUSTER</t>
  </si>
  <si>
    <t>Number</t>
  </si>
  <si>
    <t>or Contract #</t>
  </si>
  <si>
    <t>Expenditure/Disbursements</t>
  </si>
  <si>
    <t>Note 1:  Basis of Presentation</t>
  </si>
  <si>
    <t>Note 2:  Indirect Facilities &amp; Administration costs</t>
  </si>
  <si>
    <r>
      <t xml:space="preserve">The following amounts were expended in the form of non-cash assistance by B-M-P Tri-County Special Education Cooperative and </t>
    </r>
    <r>
      <rPr>
        <b/>
        <sz val="9"/>
        <rFont val="Calibri"/>
        <family val="2"/>
        <scheme val="minor"/>
      </rPr>
      <t>should be</t>
    </r>
    <r>
      <rPr>
        <sz val="9"/>
        <rFont val="Calibri"/>
        <family val="2"/>
        <scheme val="minor"/>
      </rPr>
      <t xml:space="preserve"> included in the Schedule of Expenditures of Federal Awards:</t>
    </r>
  </si>
  <si>
    <t>BMP Tri County Special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</si>
</sst>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3"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5"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8"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0"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60" fillId="0" borderId="14" xfId="0" applyFont="1" applyBorder="1" applyAlignment="1">
      <alignment vertical="top" wrapText="1"/>
    </xf>
    <xf numFmtId="0" fontId="112"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0"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0"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0"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3" fillId="0" borderId="126" xfId="0" applyFont="1" applyBorder="1" applyAlignment="1"/>
    <xf numFmtId="164" fontId="110"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4"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6" fillId="0" borderId="22" xfId="3" applyFont="1" applyBorder="1" applyAlignment="1" applyProtection="1">
      <alignment horizontal="center"/>
      <protection locked="0"/>
    </xf>
    <xf numFmtId="0" fontId="95"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5"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6" fillId="0" borderId="0" xfId="3" applyFont="1" applyAlignment="1" applyProtection="1">
      <alignment vertical="top"/>
    </xf>
    <xf numFmtId="0" fontId="60" fillId="0" borderId="0" xfId="3" applyFont="1" applyProtection="1"/>
    <xf numFmtId="0" fontId="116"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18"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5" fillId="0" borderId="0" xfId="3" applyFont="1" applyProtection="1"/>
    <xf numFmtId="10" fontId="118"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6"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6" fillId="0" borderId="141" xfId="17" applyFont="1" applyBorder="1" applyAlignment="1">
      <alignment horizontal="left" vertical="top"/>
    </xf>
    <xf numFmtId="0" fontId="121" fillId="0" borderId="142" xfId="17" applyFont="1" applyBorder="1" applyAlignment="1">
      <alignment horizontal="center" vertical="top"/>
    </xf>
    <xf numFmtId="0" fontId="121" fillId="0" borderId="143" xfId="17" applyFont="1" applyBorder="1" applyAlignment="1">
      <alignment horizontal="center" vertical="top"/>
    </xf>
    <xf numFmtId="0" fontId="122" fillId="0" borderId="96" xfId="17" applyFont="1" applyBorder="1" applyAlignment="1">
      <alignment vertical="top"/>
    </xf>
    <xf numFmtId="0" fontId="122" fillId="0" borderId="0" xfId="17" applyFont="1" applyBorder="1" applyAlignment="1">
      <alignment vertical="top"/>
    </xf>
    <xf numFmtId="0" fontId="122"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0" fillId="24" borderId="157" xfId="17" applyFont="1" applyFill="1" applyBorder="1" applyAlignment="1">
      <alignment horizontal="center" vertical="center" wrapText="1"/>
    </xf>
    <xf numFmtId="38" fontId="120"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2" fillId="21" borderId="158" xfId="17" applyFont="1" applyFill="1" applyBorder="1" applyAlignment="1" applyProtection="1">
      <alignment horizontal="left" vertical="top" wrapText="1"/>
    </xf>
    <xf numFmtId="49" fontId="122" fillId="21" borderId="158" xfId="17" applyNumberFormat="1" applyFont="1" applyFill="1" applyBorder="1" applyAlignment="1" applyProtection="1">
      <alignment horizontal="center" vertical="top"/>
    </xf>
    <xf numFmtId="0" fontId="122" fillId="21" borderId="158" xfId="17" applyFont="1" applyFill="1" applyBorder="1" applyAlignment="1" applyProtection="1">
      <alignment vertical="top"/>
    </xf>
    <xf numFmtId="38" fontId="122" fillId="21" borderId="158" xfId="17" applyNumberFormat="1" applyFont="1" applyFill="1" applyBorder="1" applyAlignment="1" applyProtection="1">
      <alignment horizontal="right" vertical="top"/>
    </xf>
    <xf numFmtId="38" fontId="122"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2" fillId="0" borderId="98" xfId="17" applyFont="1" applyBorder="1" applyAlignment="1">
      <alignment horizontal="left" vertical="top"/>
    </xf>
    <xf numFmtId="0" fontId="122" fillId="0" borderId="78" xfId="17" applyFont="1" applyBorder="1" applyAlignment="1">
      <alignment horizontal="left" vertical="top"/>
    </xf>
    <xf numFmtId="0" fontId="122"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27" fillId="0" borderId="163" xfId="18" applyFont="1" applyFill="1" applyBorder="1" applyAlignment="1" applyProtection="1">
      <alignment horizontal="center" vertical="center"/>
      <protection locked="0"/>
    </xf>
    <xf numFmtId="0" fontId="100"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1" fillId="0" borderId="106" xfId="18" applyNumberFormat="1" applyFont="1" applyBorder="1" applyAlignment="1" applyProtection="1">
      <alignment horizontal="center" vertical="center"/>
      <protection locked="0"/>
    </xf>
    <xf numFmtId="0" fontId="121"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28" fillId="0" borderId="105" xfId="18" applyNumberFormat="1" applyFont="1" applyBorder="1" applyAlignment="1" applyProtection="1">
      <alignment horizontal="center" vertical="center"/>
      <protection locked="0"/>
    </xf>
    <xf numFmtId="49" fontId="128"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28"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29"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99"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0" fillId="0" borderId="0" xfId="12" applyFont="1" applyBorder="1" applyAlignment="1" applyProtection="1">
      <alignment horizontal="center" vertical="center" wrapText="1"/>
    </xf>
    <xf numFmtId="0" fontId="130" fillId="0" borderId="18" xfId="12" applyFont="1" applyBorder="1" applyAlignment="1" applyProtection="1">
      <alignment horizontal="center" vertical="center" wrapText="1"/>
    </xf>
    <xf numFmtId="0" fontId="130" fillId="0" borderId="129" xfId="12" applyFont="1" applyBorder="1" applyAlignment="1" applyProtection="1">
      <alignment horizontal="center" vertical="center" wrapText="1"/>
    </xf>
    <xf numFmtId="0" fontId="130"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5"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2" fillId="0" borderId="96" xfId="17" applyFont="1" applyBorder="1" applyAlignment="1">
      <alignment horizontal="left" vertical="top" wrapText="1"/>
    </xf>
    <xf numFmtId="0" fontId="122" fillId="0" borderId="0" xfId="17" applyFont="1" applyBorder="1" applyAlignment="1">
      <alignment horizontal="left" vertical="top" wrapText="1"/>
    </xf>
    <xf numFmtId="0" fontId="122" fillId="0" borderId="97" xfId="17" applyFont="1" applyBorder="1" applyAlignment="1">
      <alignment horizontal="left" vertical="top" wrapText="1"/>
    </xf>
    <xf numFmtId="0" fontId="121" fillId="24" borderId="141" xfId="17" applyFont="1" applyFill="1" applyBorder="1" applyAlignment="1">
      <alignment horizontal="center" vertical="center"/>
    </xf>
    <xf numFmtId="0" fontId="121" fillId="24" borderId="142" xfId="17" applyFont="1" applyFill="1" applyBorder="1" applyAlignment="1">
      <alignment horizontal="center" vertical="center"/>
    </xf>
    <xf numFmtId="0" fontId="121" fillId="24" borderId="143" xfId="17" applyFont="1" applyFill="1" applyBorder="1" applyAlignment="1">
      <alignment horizontal="center" vertical="center"/>
    </xf>
    <xf numFmtId="0" fontId="121" fillId="24" borderId="98" xfId="17" applyFont="1" applyFill="1" applyBorder="1" applyAlignment="1">
      <alignment horizontal="center" vertical="center"/>
    </xf>
    <xf numFmtId="0" fontId="121" fillId="24" borderId="78" xfId="17" applyFont="1" applyFill="1" applyBorder="1" applyAlignment="1">
      <alignment horizontal="center" vertical="center"/>
    </xf>
    <xf numFmtId="0" fontId="121" fillId="24" borderId="99" xfId="17" applyFont="1" applyFill="1" applyBorder="1" applyAlignment="1">
      <alignment horizontal="center" vertical="center"/>
    </xf>
    <xf numFmtId="0" fontId="122" fillId="0" borderId="96" xfId="17" applyFont="1" applyBorder="1" applyAlignment="1">
      <alignment vertical="top" wrapText="1"/>
    </xf>
    <xf numFmtId="0" fontId="122" fillId="0" borderId="0" xfId="17" applyFont="1" applyBorder="1" applyAlignment="1">
      <alignment vertical="top" wrapText="1"/>
    </xf>
    <xf numFmtId="0" fontId="122" fillId="0" borderId="97" xfId="17" applyFont="1" applyBorder="1" applyAlignment="1">
      <alignment vertical="top" wrapText="1"/>
    </xf>
    <xf numFmtId="0" fontId="122" fillId="0" borderId="96" xfId="17" applyFont="1" applyBorder="1" applyAlignment="1">
      <alignment vertical="top"/>
    </xf>
    <xf numFmtId="0" fontId="122" fillId="0" borderId="0" xfId="17" applyFont="1" applyBorder="1" applyAlignment="1">
      <alignment vertical="top"/>
    </xf>
    <xf numFmtId="0" fontId="122"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4"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0"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7E4BE7CD-E1CA-422A-88AB-0D44475092C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1672</v>
      </c>
      <c r="B1" s="45"/>
      <c r="C1" s="45"/>
      <c r="D1" s="46"/>
      <c r="I1" s="2032" t="s">
        <v>425</v>
      </c>
      <c r="J1" s="2033"/>
      <c r="K1" s="2033"/>
      <c r="L1" s="2033"/>
      <c r="M1" s="2033"/>
      <c r="N1" s="2033"/>
      <c r="O1" s="2033"/>
      <c r="P1" s="2033"/>
      <c r="Q1" s="2033"/>
      <c r="R1" s="2033"/>
      <c r="S1" s="2033"/>
    </row>
    <row r="2" spans="1:28" ht="12" customHeight="1" x14ac:dyDescent="0.2">
      <c r="A2" s="47" t="s">
        <v>1670</v>
      </c>
      <c r="D2" s="48"/>
      <c r="I2" s="2034" t="s">
        <v>1036</v>
      </c>
      <c r="J2" s="2033"/>
      <c r="K2" s="2033"/>
      <c r="L2" s="2033"/>
      <c r="M2" s="2033"/>
      <c r="N2" s="2033"/>
      <c r="O2" s="2033"/>
      <c r="P2" s="2033"/>
      <c r="Q2" s="2033"/>
      <c r="R2" s="2033"/>
      <c r="S2" s="2033"/>
    </row>
    <row r="3" spans="1:28" ht="12" customHeight="1" x14ac:dyDescent="0.2">
      <c r="A3" s="155" t="s">
        <v>1671</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t="s">
        <v>2021</v>
      </c>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2021</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35059005061</v>
      </c>
      <c r="B13" s="2003"/>
      <c r="C13" s="2003"/>
      <c r="D13" s="2003"/>
      <c r="E13" s="2003"/>
      <c r="F13" s="2003"/>
      <c r="G13" s="2003"/>
      <c r="H13" s="2004"/>
      <c r="I13" s="31"/>
      <c r="J13" s="30"/>
      <c r="K13" s="28"/>
      <c r="L13" s="30"/>
      <c r="M13" s="30"/>
      <c r="N13" s="30"/>
      <c r="O13" s="30"/>
      <c r="P13" s="30"/>
      <c r="Q13" s="30"/>
      <c r="R13" s="30"/>
      <c r="S13" s="30"/>
      <c r="T13" s="2007" t="s">
        <v>2026</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1390</v>
      </c>
      <c r="U14" s="51"/>
      <c r="V14" s="51"/>
      <c r="W14" s="51"/>
      <c r="X14" s="51"/>
      <c r="Y14" s="45"/>
      <c r="Z14" s="45"/>
      <c r="AA14" s="46"/>
    </row>
    <row r="15" spans="1:28" ht="13.5" customHeight="1" x14ac:dyDescent="0.2">
      <c r="A15" s="2000" t="s">
        <v>2022</v>
      </c>
      <c r="B15" s="2005"/>
      <c r="C15" s="2005"/>
      <c r="D15" s="2005"/>
      <c r="E15" s="2005"/>
      <c r="F15" s="2005"/>
      <c r="G15" s="2005"/>
      <c r="H15" s="2006"/>
      <c r="T15" s="1968" t="s">
        <v>2027</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2097</v>
      </c>
      <c r="B17" s="2030"/>
      <c r="C17" s="2030"/>
      <c r="D17" s="2030"/>
      <c r="E17" s="2030"/>
      <c r="F17" s="2030"/>
      <c r="G17" s="2030"/>
      <c r="H17" s="2031"/>
      <c r="T17" s="2017" t="s">
        <v>2028</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2023</v>
      </c>
      <c r="B19" s="2001"/>
      <c r="C19" s="2001"/>
      <c r="D19" s="2001"/>
      <c r="E19" s="2001"/>
      <c r="F19" s="2001"/>
      <c r="G19" s="2001"/>
      <c r="H19" s="1999"/>
      <c r="I19" s="30"/>
      <c r="J19" s="99"/>
      <c r="K19" s="40"/>
      <c r="L19" s="38"/>
      <c r="M19" s="112" t="s">
        <v>333</v>
      </c>
      <c r="P19" s="27"/>
      <c r="Q19" s="27"/>
      <c r="R19" s="27"/>
      <c r="S19" s="31"/>
      <c r="T19" s="2000" t="s">
        <v>2029</v>
      </c>
      <c r="U19" s="1998"/>
      <c r="V19" s="1998"/>
      <c r="W19" s="1999"/>
      <c r="X19" s="2015" t="s">
        <v>2030</v>
      </c>
      <c r="Y19" s="2016"/>
      <c r="Z19" s="2013">
        <v>61326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2024</v>
      </c>
      <c r="B21" s="1998"/>
      <c r="C21" s="1998"/>
      <c r="D21" s="1998"/>
      <c r="E21" s="1998"/>
      <c r="F21" s="1998"/>
      <c r="G21" s="1998"/>
      <c r="H21" s="1999"/>
      <c r="I21" s="2023" t="s">
        <v>699</v>
      </c>
      <c r="J21" s="1986"/>
      <c r="K21" s="1986"/>
      <c r="L21" s="1986"/>
      <c r="M21" s="1986"/>
      <c r="N21" s="1986"/>
      <c r="O21" s="1986"/>
      <c r="P21" s="1986"/>
      <c r="Q21" s="1986"/>
      <c r="R21" s="1986"/>
      <c r="S21" s="1987"/>
      <c r="T21" s="1965" t="s">
        <v>2031</v>
      </c>
      <c r="U21" s="1966"/>
      <c r="V21" s="1966"/>
      <c r="W21" s="1966"/>
      <c r="X21" s="1979" t="s">
        <v>2032</v>
      </c>
      <c r="Y21" s="1980"/>
      <c r="Z21" s="1980"/>
      <c r="AA21" s="1981"/>
    </row>
    <row r="22" spans="1:27" ht="13.5" customHeight="1" x14ac:dyDescent="0.2">
      <c r="A22" s="87" t="s">
        <v>552</v>
      </c>
      <c r="B22" s="59"/>
      <c r="C22" s="59"/>
      <c r="D22" s="59"/>
      <c r="E22" s="59"/>
      <c r="F22" s="59"/>
      <c r="G22" s="59"/>
      <c r="H22" s="60"/>
      <c r="I22" s="2024" t="s">
        <v>1498</v>
      </c>
      <c r="J22" s="2025"/>
      <c r="K22" s="2025"/>
      <c r="L22" s="2025"/>
      <c r="M22" s="2025"/>
      <c r="N22" s="2025"/>
      <c r="O22" s="2025"/>
      <c r="P22" s="2025"/>
      <c r="Q22" s="2025"/>
      <c r="R22" s="2025"/>
      <c r="S22" s="2026"/>
      <c r="T22" s="85" t="s">
        <v>1590</v>
      </c>
      <c r="U22" s="51"/>
      <c r="V22" s="72"/>
      <c r="W22" s="51"/>
      <c r="X22" s="160" t="s">
        <v>1379</v>
      </c>
      <c r="Z22" s="45"/>
      <c r="AA22" s="46"/>
    </row>
    <row r="23" spans="1:27" ht="13.5" customHeight="1" x14ac:dyDescent="0.2">
      <c r="A23" s="2020" t="s">
        <v>2025</v>
      </c>
      <c r="B23" s="2021"/>
      <c r="C23" s="2021"/>
      <c r="D23" s="2021"/>
      <c r="E23" s="2021"/>
      <c r="F23" s="2021"/>
      <c r="G23" s="2021"/>
      <c r="H23" s="2022"/>
      <c r="T23" s="1960">
        <v>66.004501000000005</v>
      </c>
      <c r="U23" s="1961"/>
      <c r="V23" s="1961"/>
      <c r="W23" s="1961"/>
      <c r="X23" s="1976">
        <v>43434</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61368</v>
      </c>
      <c r="B25" s="1998"/>
      <c r="C25" s="1998"/>
      <c r="D25" s="1998"/>
      <c r="E25" s="1998"/>
      <c r="F25" s="1998"/>
      <c r="G25" s="1998"/>
      <c r="H25" s="1999"/>
      <c r="I25" s="113"/>
      <c r="J25" s="2064"/>
      <c r="K25" s="2064"/>
      <c r="L25" s="2064"/>
      <c r="M25" s="2064"/>
      <c r="N25" s="2064"/>
      <c r="O25" s="2064"/>
      <c r="P25" s="2064"/>
      <c r="Q25" s="2064"/>
      <c r="R25" s="2064"/>
      <c r="S25" s="2065"/>
      <c r="T25" s="1957" t="s">
        <v>2033</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1585</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1377</v>
      </c>
      <c r="G29" s="114"/>
      <c r="I29" s="54"/>
      <c r="J29" s="148" t="s">
        <v>2021</v>
      </c>
      <c r="K29" s="28" t="s">
        <v>597</v>
      </c>
      <c r="L29" s="102"/>
      <c r="M29" s="40" t="s">
        <v>101</v>
      </c>
      <c r="N29" s="32" t="s">
        <v>1598</v>
      </c>
      <c r="O29" s="32"/>
      <c r="P29" s="32"/>
      <c r="Q29" s="32"/>
      <c r="R29" s="32"/>
      <c r="S29" s="123"/>
      <c r="T29" s="6"/>
      <c r="U29" s="6"/>
      <c r="V29" s="6"/>
      <c r="W29" s="6"/>
      <c r="X29" s="6"/>
      <c r="Y29" s="6"/>
      <c r="Z29" s="6"/>
      <c r="AA29" s="132"/>
    </row>
    <row r="30" spans="1:27" ht="13.5" customHeight="1" x14ac:dyDescent="0.2">
      <c r="A30" s="153"/>
      <c r="B30" s="136" t="s">
        <v>2021</v>
      </c>
      <c r="C30" s="124" t="s">
        <v>1226</v>
      </c>
      <c r="D30" s="28"/>
      <c r="E30" s="28"/>
      <c r="F30" s="140"/>
      <c r="G30" s="114"/>
      <c r="H30" s="114"/>
      <c r="I30" s="54"/>
      <c r="J30" s="148" t="s">
        <v>2021</v>
      </c>
      <c r="K30" s="28" t="s">
        <v>597</v>
      </c>
      <c r="L30" s="102"/>
      <c r="M30" s="40" t="s">
        <v>101</v>
      </c>
      <c r="N30" s="32" t="s">
        <v>1586</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2021</v>
      </c>
      <c r="M31" s="40" t="s">
        <v>101</v>
      </c>
      <c r="N31" s="32" t="s">
        <v>1668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2021</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2034</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2025</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2035</v>
      </c>
      <c r="B42" s="2047"/>
      <c r="C42" s="2048"/>
      <c r="D42" s="2061"/>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1485</v>
      </c>
      <c r="R45" s="41"/>
      <c r="S45" s="41"/>
      <c r="T45" s="147"/>
      <c r="U45" s="41"/>
      <c r="V45" s="41"/>
      <c r="W45" s="41"/>
      <c r="X45" s="41"/>
      <c r="Y45" s="41"/>
      <c r="Z45" s="41"/>
      <c r="AA45" s="41"/>
    </row>
    <row r="46" spans="1:27" ht="10.5" customHeight="1" x14ac:dyDescent="0.2">
      <c r="A46" s="42" t="s">
        <v>1673</v>
      </c>
      <c r="D46" s="41"/>
      <c r="E46" s="41"/>
      <c r="F46" s="41"/>
      <c r="G46" s="41"/>
      <c r="Q46" s="29" t="s">
        <v>1486</v>
      </c>
      <c r="R46" s="41"/>
      <c r="S46" s="41"/>
      <c r="T46" s="41"/>
      <c r="U46" s="41"/>
      <c r="V46" s="41"/>
      <c r="W46" s="41"/>
      <c r="X46" s="41"/>
      <c r="Y46" s="41"/>
      <c r="Z46" s="41"/>
      <c r="AA46" s="41"/>
    </row>
    <row r="47" spans="1:27" x14ac:dyDescent="0.2">
      <c r="A47" s="137"/>
      <c r="Q47" s="41" t="s">
        <v>2011</v>
      </c>
      <c r="R47" s="41"/>
      <c r="S47" s="41"/>
      <c r="T47" s="41"/>
      <c r="U47" s="41"/>
      <c r="V47" s="41"/>
      <c r="W47" s="41"/>
      <c r="X47" s="41"/>
      <c r="Y47" s="41"/>
      <c r="Z47" s="41"/>
      <c r="AA47" s="41"/>
    </row>
    <row r="48" spans="1:27" x14ac:dyDescent="0.2">
      <c r="Q48" s="41" t="s">
        <v>2012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1851</v>
      </c>
      <c r="B2" s="1550" t="s">
        <v>1981</v>
      </c>
      <c r="C2" s="715" t="s">
        <v>1856</v>
      </c>
      <c r="D2" s="715" t="s">
        <v>1857</v>
      </c>
      <c r="E2" s="715" t="s">
        <v>1858</v>
      </c>
      <c r="F2" s="715" t="s">
        <v>1859</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1861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1851</v>
      </c>
      <c r="B2" s="2217"/>
      <c r="C2" s="1909" t="s">
        <v>1982</v>
      </c>
      <c r="D2" s="724" t="s">
        <v>1989</v>
      </c>
      <c r="E2" s="724" t="s">
        <v>1990</v>
      </c>
      <c r="F2" s="1909" t="s">
        <v>1983</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1758</v>
      </c>
      <c r="E30" s="1910" t="s">
        <v>1984</v>
      </c>
      <c r="F30" s="1910" t="s">
        <v>1985</v>
      </c>
      <c r="G30" s="1910" t="s">
        <v>1988</v>
      </c>
      <c r="H30" s="1910" t="s">
        <v>1986</v>
      </c>
      <c r="I30" s="1910" t="s">
        <v>1987</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1860</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1762</v>
      </c>
      <c r="B2" s="2236"/>
      <c r="C2" s="2236"/>
      <c r="D2" s="2236"/>
      <c r="E2" s="2237"/>
      <c r="F2" s="762" t="s">
        <v>960</v>
      </c>
      <c r="G2" s="763" t="s">
        <v>1759</v>
      </c>
      <c r="H2" s="763" t="s">
        <v>430</v>
      </c>
      <c r="I2" s="763" t="s">
        <v>1220</v>
      </c>
      <c r="J2" s="763" t="s">
        <v>1865</v>
      </c>
      <c r="K2" s="763" t="s">
        <v>140</v>
      </c>
    </row>
    <row r="3" spans="1:11" x14ac:dyDescent="0.2">
      <c r="A3" s="2238" t="s">
        <v>1684</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1866</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0</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1862</v>
      </c>
      <c r="B19" s="2267"/>
      <c r="C19" s="2267"/>
      <c r="D19" s="2267"/>
      <c r="E19" s="2268"/>
      <c r="F19" s="790" t="s">
        <v>990</v>
      </c>
      <c r="G19" s="783"/>
      <c r="H19" s="783"/>
      <c r="I19" s="783"/>
      <c r="J19" s="766"/>
      <c r="K19" s="796"/>
    </row>
    <row r="20" spans="1:11" x14ac:dyDescent="0.2">
      <c r="A20" s="2246" t="s">
        <v>1867</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1868</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0</v>
      </c>
      <c r="I23" s="1780">
        <f>SUM(I14:I16,I21,I22)</f>
        <v>0</v>
      </c>
      <c r="J23" s="1780">
        <f>SUM(J14:J16,J21,J22)</f>
        <v>0</v>
      </c>
      <c r="K23" s="1780">
        <f>SUM(K14:K16,K21,K22)</f>
        <v>0</v>
      </c>
    </row>
    <row r="24" spans="1:11" ht="14.25" thickTop="1" thickBot="1" x14ac:dyDescent="0.25">
      <c r="A24" s="2253" t="s">
        <v>1970</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1980</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1869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1863</v>
      </c>
      <c r="B46" s="408" t="s">
        <v>1760</v>
      </c>
    </row>
    <row r="47" spans="1:11" s="824" customFormat="1" ht="12.75" customHeight="1" x14ac:dyDescent="0.2">
      <c r="A47" s="822"/>
      <c r="B47" s="823" t="s">
        <v>1761</v>
      </c>
      <c r="E47" s="823"/>
      <c r="K47" s="825"/>
    </row>
    <row r="48" spans="1:11" ht="12.75" customHeight="1" x14ac:dyDescent="0.2">
      <c r="A48" s="1554" t="s">
        <v>1864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1979</v>
      </c>
      <c r="B1" s="2272"/>
      <c r="C1" s="2273"/>
      <c r="D1" s="827"/>
      <c r="E1" s="828"/>
      <c r="F1" s="828"/>
      <c r="G1" s="829"/>
      <c r="H1" s="830"/>
      <c r="I1" s="831"/>
      <c r="J1" s="2269"/>
      <c r="K1" s="2270"/>
      <c r="L1" s="2270"/>
    </row>
    <row r="2" spans="1:14" ht="69.75" customHeight="1" x14ac:dyDescent="0.2">
      <c r="A2" s="832" t="s">
        <v>1763</v>
      </c>
      <c r="B2" s="833" t="s">
        <v>396</v>
      </c>
      <c r="C2" s="834" t="s">
        <v>1974</v>
      </c>
      <c r="D2" s="834" t="s">
        <v>1971</v>
      </c>
      <c r="E2" s="834" t="s">
        <v>1972</v>
      </c>
      <c r="F2" s="834" t="s">
        <v>1973</v>
      </c>
      <c r="G2" s="834" t="s">
        <v>626</v>
      </c>
      <c r="H2" s="834" t="s">
        <v>1975</v>
      </c>
      <c r="I2" s="834" t="s">
        <v>1976</v>
      </c>
      <c r="J2" s="834" t="s">
        <v>1991</v>
      </c>
      <c r="K2" s="834" t="s">
        <v>1977</v>
      </c>
      <c r="L2" s="834" t="s">
        <v>1978</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19827</v>
      </c>
      <c r="D10" s="847"/>
      <c r="E10" s="847"/>
      <c r="F10" s="1786">
        <f>(C10+D10)-E10</f>
        <v>19827</v>
      </c>
      <c r="G10" s="844">
        <v>20</v>
      </c>
      <c r="H10" s="848">
        <v>5288</v>
      </c>
      <c r="I10" s="848">
        <v>1321</v>
      </c>
      <c r="J10" s="848"/>
      <c r="K10" s="1791">
        <f>(H10+I10)-J10</f>
        <v>6609</v>
      </c>
      <c r="L10" s="1791">
        <f>F10-K10</f>
        <v>13218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113041</v>
      </c>
      <c r="D12" s="845"/>
      <c r="E12" s="845"/>
      <c r="F12" s="1782">
        <f>(C12+D12)-E12</f>
        <v>113041</v>
      </c>
      <c r="G12" s="844">
        <v>10</v>
      </c>
      <c r="H12" s="766">
        <v>110710</v>
      </c>
      <c r="I12" s="766">
        <v>561</v>
      </c>
      <c r="J12" s="766"/>
      <c r="K12" s="1791">
        <f>(H12+I12)-J12</f>
        <v>111271</v>
      </c>
      <c r="L12" s="1791">
        <f>F12-K12</f>
        <v>1770</v>
      </c>
    </row>
    <row r="13" spans="1:14" ht="14.25" thickTop="1" thickBot="1" x14ac:dyDescent="0.25">
      <c r="A13" s="849" t="s">
        <v>1184</v>
      </c>
      <c r="B13" s="841">
        <v>252</v>
      </c>
      <c r="C13" s="845">
        <v>85708</v>
      </c>
      <c r="D13" s="845">
        <v>5000</v>
      </c>
      <c r="E13" s="845"/>
      <c r="F13" s="1782">
        <f>(C13+D13)-E13</f>
        <v>90708</v>
      </c>
      <c r="G13" s="844">
        <v>5</v>
      </c>
      <c r="H13" s="766">
        <v>69330</v>
      </c>
      <c r="I13" s="766">
        <v>9608</v>
      </c>
      <c r="J13" s="766"/>
      <c r="K13" s="1791">
        <f>(H13+I13)-J13</f>
        <v>78938</v>
      </c>
      <c r="L13" s="1791">
        <f>F13-K13</f>
        <v>11770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218576</v>
      </c>
      <c r="D16" s="1782">
        <f>SUM(D3,D5:D6,D8:D10,D12:D15)</f>
        <v>5000</v>
      </c>
      <c r="E16" s="1782">
        <f>SUM(E3,E5:E6,E8:E10,E12:E15)</f>
        <v>0</v>
      </c>
      <c r="F16" s="1782">
        <f>SUM(F3,F5:F6,F8:F10,F12:F15)</f>
        <v>223576</v>
      </c>
      <c r="G16" s="844"/>
      <c r="H16" s="1782">
        <f>SUM(H3,H6,H8:H10,H12:H14,)</f>
        <v>185328</v>
      </c>
      <c r="I16" s="1782">
        <f>SUM(I3,I6,I8:I10,I12:I14,)</f>
        <v>11490</v>
      </c>
      <c r="J16" s="1782">
        <f>SUM(J3,J6,J8:J10,J12:J14,)</f>
        <v>0</v>
      </c>
      <c r="K16" s="1782">
        <f>(H16+I16)-J16</f>
        <v>196818</v>
      </c>
      <c r="L16" s="1782">
        <f>F16-K16</f>
        <v>26758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11490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24"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1685</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1538</v>
      </c>
      <c r="C8" s="872"/>
      <c r="D8" s="870" t="s">
        <v>522</v>
      </c>
      <c r="E8" s="869" t="s">
        <v>1015</v>
      </c>
      <c r="F8" s="1934">
        <f>'Expenditures 15-22'!K114</f>
        <v>2863674</v>
      </c>
      <c r="G8" s="866"/>
    </row>
    <row r="9" spans="1:7" x14ac:dyDescent="0.2">
      <c r="A9" s="870" t="s">
        <v>480</v>
      </c>
      <c r="B9" s="871" t="s">
        <v>1933</v>
      </c>
      <c r="C9" s="872"/>
      <c r="D9" s="870" t="s">
        <v>522</v>
      </c>
      <c r="E9" s="869"/>
      <c r="F9" s="1935">
        <f>'Expenditures 15-22'!K151</f>
        <v>0</v>
      </c>
      <c r="G9" s="873"/>
    </row>
    <row r="10" spans="1:7" x14ac:dyDescent="0.2">
      <c r="A10" s="870" t="s">
        <v>520</v>
      </c>
      <c r="B10" s="871" t="s">
        <v>1934</v>
      </c>
      <c r="C10" s="872"/>
      <c r="D10" s="870" t="s">
        <v>522</v>
      </c>
      <c r="E10" s="869"/>
      <c r="F10" s="1935">
        <f>'Expenditures 15-22'!K174</f>
        <v>0</v>
      </c>
      <c r="G10" s="873"/>
    </row>
    <row r="11" spans="1:7" x14ac:dyDescent="0.2">
      <c r="A11" s="870" t="s">
        <v>481</v>
      </c>
      <c r="B11" s="871" t="s">
        <v>1935</v>
      </c>
      <c r="C11" s="872"/>
      <c r="D11" s="870" t="s">
        <v>522</v>
      </c>
      <c r="E11" s="869"/>
      <c r="F11" s="1935">
        <f>'Expenditures 15-22'!K210</f>
        <v>0</v>
      </c>
      <c r="G11" s="873"/>
    </row>
    <row r="12" spans="1:7" x14ac:dyDescent="0.2">
      <c r="A12" s="870" t="s">
        <v>482</v>
      </c>
      <c r="B12" s="871" t="s">
        <v>1936</v>
      </c>
      <c r="C12" s="872"/>
      <c r="D12" s="870" t="s">
        <v>522</v>
      </c>
      <c r="E12" s="869"/>
      <c r="F12" s="1935">
        <f>'Expenditures 15-22'!K295</f>
        <v>0</v>
      </c>
      <c r="G12" s="873"/>
    </row>
    <row r="13" spans="1:7" x14ac:dyDescent="0.2">
      <c r="A13" s="870" t="s">
        <v>108</v>
      </c>
      <c r="B13" s="871" t="s">
        <v>1937</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2863674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1669</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1539</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1540</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1541</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1542</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1543</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1544</v>
      </c>
      <c r="C52" s="890" t="str">
        <f>'Expenditures 15-22'!B75</f>
        <v>3000</v>
      </c>
      <c r="D52" s="889" t="s">
        <v>469</v>
      </c>
      <c r="E52" s="869"/>
      <c r="F52" s="1939">
        <f>'Expenditures 15-22'!K75-SUM('Expenditures 15-22'!G75,'Expenditures 15-22'!I75)</f>
        <v>0</v>
      </c>
      <c r="G52" s="866"/>
    </row>
    <row r="53" spans="1:7" x14ac:dyDescent="0.2">
      <c r="A53" s="870" t="s">
        <v>479</v>
      </c>
      <c r="B53" s="870" t="s">
        <v>1545</v>
      </c>
      <c r="C53" s="890">
        <f>'Expenditures 15-22'!B102</f>
        <v>4000</v>
      </c>
      <c r="D53" s="889" t="str">
        <f>'Expenditures 15-22'!A102</f>
        <v>Total Payments to Other Govt Units</v>
      </c>
      <c r="E53" s="869"/>
      <c r="F53" s="1939">
        <f>'Expenditures 15-22'!K102</f>
        <v>13586</v>
      </c>
      <c r="G53" s="866"/>
    </row>
    <row r="54" spans="1:7" x14ac:dyDescent="0.2">
      <c r="A54" s="870" t="s">
        <v>479</v>
      </c>
      <c r="B54" s="870" t="s">
        <v>1546</v>
      </c>
      <c r="C54" s="890" t="s">
        <v>1039</v>
      </c>
      <c r="D54" s="886" t="s">
        <v>1157</v>
      </c>
      <c r="E54" s="869"/>
      <c r="F54" s="1939">
        <f>'Expenditures 15-22'!G114</f>
        <v>5000</v>
      </c>
      <c r="G54" s="866"/>
    </row>
    <row r="55" spans="1:7" x14ac:dyDescent="0.2">
      <c r="A55" s="870" t="s">
        <v>479</v>
      </c>
      <c r="B55" s="870" t="s">
        <v>1547</v>
      </c>
      <c r="C55" s="890" t="s">
        <v>1039</v>
      </c>
      <c r="D55" s="886" t="s">
        <v>309</v>
      </c>
      <c r="E55" s="869"/>
      <c r="F55" s="1939">
        <f>'Expenditures 15-22'!I114</f>
        <v>0</v>
      </c>
      <c r="G55" s="866"/>
    </row>
    <row r="56" spans="1:7" x14ac:dyDescent="0.2">
      <c r="A56" s="870" t="s">
        <v>480</v>
      </c>
      <c r="B56" s="870" t="s">
        <v>1548</v>
      </c>
      <c r="C56" s="887" t="str">
        <f>'Expenditures 15-22'!B130</f>
        <v>3000</v>
      </c>
      <c r="D56" s="893" t="s">
        <v>469</v>
      </c>
      <c r="E56" s="869"/>
      <c r="F56" s="1939">
        <f>'Expenditures 15-22'!K130-SUM('Expenditures 15-22'!G130+'Expenditures 15-22'!I130)</f>
        <v>0</v>
      </c>
      <c r="G56" s="866"/>
    </row>
    <row r="57" spans="1:7" x14ac:dyDescent="0.2">
      <c r="A57" s="870" t="s">
        <v>480</v>
      </c>
      <c r="B57" s="870" t="s">
        <v>1938</v>
      </c>
      <c r="C57" s="890">
        <f>'Expenditures 15-22'!B139</f>
        <v>4000</v>
      </c>
      <c r="D57" s="888" t="str">
        <f>'Expenditures 15-22'!A139</f>
        <v>Total Payments to Other Govt Units</v>
      </c>
      <c r="E57" s="869"/>
      <c r="F57" s="1939">
        <f>'Expenditures 15-22'!K139</f>
        <v>0</v>
      </c>
      <c r="G57" s="866"/>
    </row>
    <row r="58" spans="1:7" x14ac:dyDescent="0.2">
      <c r="A58" s="870" t="s">
        <v>480</v>
      </c>
      <c r="B58" s="870" t="s">
        <v>1939</v>
      </c>
      <c r="C58" s="887" t="s">
        <v>1039</v>
      </c>
      <c r="D58" s="886" t="s">
        <v>1157</v>
      </c>
      <c r="E58" s="869"/>
      <c r="F58" s="1941">
        <f>'Expenditures 15-22'!G151</f>
        <v>0</v>
      </c>
      <c r="G58" s="866"/>
    </row>
    <row r="59" spans="1:7" x14ac:dyDescent="0.2">
      <c r="A59" s="894" t="s">
        <v>480</v>
      </c>
      <c r="B59" s="857" t="s">
        <v>1940</v>
      </c>
      <c r="C59" s="895" t="s">
        <v>1039</v>
      </c>
      <c r="D59" s="857" t="s">
        <v>309</v>
      </c>
      <c r="F59" s="1942">
        <f>'Expenditures 15-22'!I151</f>
        <v>0</v>
      </c>
      <c r="G59" s="866"/>
    </row>
    <row r="60" spans="1:7" x14ac:dyDescent="0.2">
      <c r="A60" s="894" t="s">
        <v>520</v>
      </c>
      <c r="B60" s="857" t="s">
        <v>1941</v>
      </c>
      <c r="C60" s="895">
        <v>4000</v>
      </c>
      <c r="D60" s="857" t="s">
        <v>330</v>
      </c>
      <c r="F60" s="1940">
        <f>'Expenditures 15-22'!K160</f>
        <v>0</v>
      </c>
      <c r="G60" s="866"/>
    </row>
    <row r="61" spans="1:7" x14ac:dyDescent="0.2">
      <c r="A61" s="896" t="s">
        <v>520</v>
      </c>
      <c r="B61" s="896" t="s">
        <v>1942</v>
      </c>
      <c r="C61" s="897" t="str">
        <f>'Expenditures 15-22'!B170</f>
        <v>5300</v>
      </c>
      <c r="D61" s="898" t="s">
        <v>329</v>
      </c>
      <c r="E61" s="880"/>
      <c r="F61" s="1939">
        <f>'Expenditures 15-22'!K170</f>
        <v>0</v>
      </c>
      <c r="G61" s="866"/>
    </row>
    <row r="62" spans="1:7" x14ac:dyDescent="0.2">
      <c r="A62" s="870" t="s">
        <v>481</v>
      </c>
      <c r="B62" s="870" t="s">
        <v>1943</v>
      </c>
      <c r="C62" s="887">
        <f>'Expenditures 15-22'!B185</f>
        <v>3000</v>
      </c>
      <c r="D62" s="877" t="s">
        <v>469</v>
      </c>
      <c r="E62" s="869"/>
      <c r="F62" s="1939">
        <f>'Expenditures 15-22'!K185-SUM('Expenditures 15-22'!G185,'Expenditures 15-22'!I185)</f>
        <v>0</v>
      </c>
      <c r="G62" s="866"/>
    </row>
    <row r="63" spans="1:7" x14ac:dyDescent="0.2">
      <c r="A63" s="870" t="s">
        <v>481</v>
      </c>
      <c r="B63" s="870" t="s">
        <v>1944</v>
      </c>
      <c r="C63" s="887" t="str">
        <f>'Expenditures 15-22'!B196</f>
        <v>4000</v>
      </c>
      <c r="D63" s="888" t="str">
        <f>'Expenditures 15-22'!A196</f>
        <v>Total Payments to Other Govt Units</v>
      </c>
      <c r="E63" s="869"/>
      <c r="F63" s="1939">
        <f>'Expenditures 15-22'!K196</f>
        <v>0</v>
      </c>
      <c r="G63" s="866"/>
    </row>
    <row r="64" spans="1:7" x14ac:dyDescent="0.2">
      <c r="A64" s="896" t="s">
        <v>481</v>
      </c>
      <c r="B64" s="896" t="s">
        <v>1945</v>
      </c>
      <c r="C64" s="897" t="str">
        <f>'Expenditures 15-22'!B206</f>
        <v>5300</v>
      </c>
      <c r="D64" s="893" t="s">
        <v>329</v>
      </c>
      <c r="E64" s="869"/>
      <c r="F64" s="1939">
        <f>'Expenditures 15-22'!K206</f>
        <v>0</v>
      </c>
      <c r="G64" s="866"/>
    </row>
    <row r="65" spans="1:8" x14ac:dyDescent="0.2">
      <c r="A65" s="870" t="s">
        <v>481</v>
      </c>
      <c r="B65" s="870" t="s">
        <v>1946</v>
      </c>
      <c r="C65" s="887" t="s">
        <v>1039</v>
      </c>
      <c r="D65" s="886" t="s">
        <v>1157</v>
      </c>
      <c r="E65" s="869"/>
      <c r="F65" s="1939">
        <f>'Expenditures 15-22'!G210</f>
        <v>0</v>
      </c>
      <c r="G65" s="866"/>
    </row>
    <row r="66" spans="1:8" x14ac:dyDescent="0.2">
      <c r="A66" s="870" t="s">
        <v>481</v>
      </c>
      <c r="B66" s="870" t="s">
        <v>1947</v>
      </c>
      <c r="C66" s="887" t="s">
        <v>1039</v>
      </c>
      <c r="D66" s="886" t="s">
        <v>309</v>
      </c>
      <c r="E66" s="869"/>
      <c r="F66" s="1939">
        <f>'Expenditures 15-22'!I210</f>
        <v>0</v>
      </c>
      <c r="G66" s="866"/>
    </row>
    <row r="67" spans="1:8" x14ac:dyDescent="0.2">
      <c r="A67" s="870" t="s">
        <v>482</v>
      </c>
      <c r="B67" s="870" t="s">
        <v>1948</v>
      </c>
      <c r="C67" s="887" t="str">
        <f>'Expenditures 15-22'!B216</f>
        <v>1125</v>
      </c>
      <c r="D67" s="893" t="str">
        <f>'Expenditures 15-22'!A216</f>
        <v>Pre-K Programs</v>
      </c>
      <c r="E67" s="869"/>
      <c r="F67" s="1939">
        <f>'Expenditures 15-22'!K216</f>
        <v>0</v>
      </c>
      <c r="G67" s="866"/>
    </row>
    <row r="68" spans="1:8" x14ac:dyDescent="0.2">
      <c r="A68" s="870" t="s">
        <v>482</v>
      </c>
      <c r="B68" s="870" t="s">
        <v>1549</v>
      </c>
      <c r="C68" s="887" t="str">
        <f>'Expenditures 15-22'!B218</f>
        <v>1225</v>
      </c>
      <c r="D68" s="893" t="str">
        <f>'Expenditures 15-22'!A218</f>
        <v>Special Education Programs - Pre-K</v>
      </c>
      <c r="E68" s="869"/>
      <c r="F68" s="1939">
        <f>'Expenditures 15-22'!K218</f>
        <v>0</v>
      </c>
      <c r="G68" s="866"/>
    </row>
    <row r="69" spans="1:8" x14ac:dyDescent="0.2">
      <c r="A69" s="870" t="s">
        <v>482</v>
      </c>
      <c r="B69" s="870" t="s">
        <v>1949</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1950</v>
      </c>
      <c r="C70" s="887">
        <f>'Expenditures 15-22'!B221</f>
        <v>1300</v>
      </c>
      <c r="D70" s="888" t="str">
        <f>'Expenditures 15-22'!A221</f>
        <v>Adult/Continuing Education Programs</v>
      </c>
      <c r="E70" s="869"/>
      <c r="F70" s="1939">
        <f>'Expenditures 15-22'!K221</f>
        <v>0</v>
      </c>
      <c r="G70" s="866"/>
    </row>
    <row r="71" spans="1:8" x14ac:dyDescent="0.2">
      <c r="A71" s="870" t="s">
        <v>482</v>
      </c>
      <c r="B71" s="870" t="s">
        <v>1951</v>
      </c>
      <c r="C71" s="887">
        <f>'Expenditures 15-22'!B224</f>
        <v>1600</v>
      </c>
      <c r="D71" s="888" t="str">
        <f>'Expenditures 15-22'!A224</f>
        <v>Summer School Programs</v>
      </c>
      <c r="E71" s="869"/>
      <c r="F71" s="1939">
        <f>'Expenditures 15-22'!K224</f>
        <v>0</v>
      </c>
      <c r="G71" s="866"/>
    </row>
    <row r="72" spans="1:8" x14ac:dyDescent="0.2">
      <c r="A72" s="870" t="s">
        <v>482</v>
      </c>
      <c r="B72" s="870" t="s">
        <v>1952</v>
      </c>
      <c r="C72" s="887">
        <f>'Expenditures 15-22'!B280</f>
        <v>3000</v>
      </c>
      <c r="D72" s="877" t="s">
        <v>469</v>
      </c>
      <c r="E72" s="869"/>
      <c r="F72" s="1939">
        <f>'Expenditures 15-22'!K280</f>
        <v>0</v>
      </c>
      <c r="G72" s="866"/>
    </row>
    <row r="73" spans="1:8" x14ac:dyDescent="0.2">
      <c r="A73" s="870" t="s">
        <v>482</v>
      </c>
      <c r="B73" s="870" t="s">
        <v>1953</v>
      </c>
      <c r="C73" s="887" t="str">
        <f>'Expenditures 15-22'!B285</f>
        <v>4000</v>
      </c>
      <c r="D73" s="888" t="str">
        <f>'Expenditures 15-22'!A285</f>
        <v>Total Payments to Other Govt Units</v>
      </c>
      <c r="E73" s="869"/>
      <c r="F73" s="1939">
        <f>'Expenditures 15-22'!K285</f>
        <v>0</v>
      </c>
      <c r="G73" s="866"/>
    </row>
    <row r="74" spans="1:8" x14ac:dyDescent="0.2">
      <c r="A74" s="870" t="s">
        <v>456</v>
      </c>
      <c r="B74" s="870" t="s">
        <v>1954</v>
      </c>
      <c r="C74" s="887" t="s">
        <v>915</v>
      </c>
      <c r="D74" s="888" t="s">
        <v>1561</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1955</v>
      </c>
      <c r="E76" s="1796" t="s">
        <v>1015</v>
      </c>
      <c r="F76" s="1800">
        <f>SUM(F18:F74)</f>
        <v>18586</v>
      </c>
      <c r="G76" s="866"/>
    </row>
    <row r="77" spans="1:8" s="894" customFormat="1" ht="12" customHeight="1" thickTop="1" thickBot="1" x14ac:dyDescent="0.25">
      <c r="A77" s="1801"/>
      <c r="B77" s="1798"/>
      <c r="C77" s="1794"/>
      <c r="D77" s="1799" t="s">
        <v>1956</v>
      </c>
      <c r="E77" s="1796"/>
      <c r="F77" s="1802">
        <f>(F14-F76)</f>
        <v>2845088</v>
      </c>
      <c r="G77" s="870"/>
    </row>
    <row r="78" spans="1:8" s="894" customFormat="1" ht="12" customHeight="1" thickTop="1" x14ac:dyDescent="0.2">
      <c r="A78" s="1803"/>
      <c r="B78" s="1798"/>
      <c r="C78" s="1794"/>
      <c r="D78" s="1799" t="s">
        <v>2003</v>
      </c>
      <c r="E78" s="1796"/>
      <c r="F78" s="899">
        <v>0</v>
      </c>
      <c r="G78" s="900"/>
      <c r="H78" s="870"/>
    </row>
    <row r="79" spans="1:8" s="894" customFormat="1" ht="12" customHeight="1" thickBot="1" x14ac:dyDescent="0.25">
      <c r="A79" s="1804"/>
      <c r="B79" s="1798"/>
      <c r="C79" s="1794"/>
      <c r="D79" s="1799" t="s">
        <v>1957</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15948</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807424</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130185</v>
      </c>
      <c r="G105" s="913"/>
    </row>
    <row r="106" spans="1:7" x14ac:dyDescent="0.2">
      <c r="A106" s="909" t="s">
        <v>694</v>
      </c>
      <c r="B106" s="909" t="s">
        <v>1477</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1502159</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1478</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1479</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1480</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1481</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1482</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1483</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1558</v>
      </c>
      <c r="C161" s="941" t="s">
        <v>896</v>
      </c>
      <c r="D161" s="942" t="s">
        <v>808</v>
      </c>
      <c r="E161" s="943"/>
      <c r="F161" s="1811">
        <f>SUM(F137:F160)</f>
        <v>0</v>
      </c>
      <c r="G161" s="906"/>
    </row>
    <row r="162" spans="1:7" s="868" customFormat="1" x14ac:dyDescent="0.2">
      <c r="A162" s="939" t="s">
        <v>479</v>
      </c>
      <c r="B162" s="940" t="s">
        <v>1495</v>
      </c>
      <c r="C162" s="941" t="s">
        <v>1493</v>
      </c>
      <c r="D162" s="942" t="s">
        <v>1494</v>
      </c>
      <c r="E162" s="943"/>
      <c r="F162" s="1811">
        <f>SUM('Revenues 9-14'!C260)</f>
        <v>0</v>
      </c>
      <c r="G162" s="906"/>
    </row>
    <row r="163" spans="1:7" s="868" customFormat="1" x14ac:dyDescent="0.2">
      <c r="A163" s="939" t="s">
        <v>521</v>
      </c>
      <c r="B163" s="940" t="s">
        <v>1535</v>
      </c>
      <c r="C163" s="941" t="s">
        <v>1536</v>
      </c>
      <c r="D163" s="942" t="s">
        <v>1537</v>
      </c>
      <c r="E163" s="943"/>
      <c r="F163" s="1811">
        <f>SUM('Revenues 9-14'!C261:H261,'Revenues 9-14'!J261:K261)</f>
        <v>0</v>
      </c>
      <c r="G163" s="906"/>
    </row>
    <row r="164" spans="1:7" x14ac:dyDescent="0.2">
      <c r="A164" s="928" t="s">
        <v>1067</v>
      </c>
      <c r="B164" s="928" t="s">
        <v>1550</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1496</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1551</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89273</v>
      </c>
      <c r="G172" s="948">
        <v>6320</v>
      </c>
    </row>
    <row r="173" spans="1:7" x14ac:dyDescent="0.2">
      <c r="A173" s="928" t="s">
        <v>689</v>
      </c>
      <c r="B173" s="928" t="s">
        <v>1497</v>
      </c>
      <c r="C173" s="933">
        <f>'Revenues 9-14'!B271</f>
        <v>4992</v>
      </c>
      <c r="D173" s="934" t="str">
        <f>'Revenues 9-14'!A271</f>
        <v>Medicaid Matching Funds - Fee-for-Service Program</v>
      </c>
      <c r="E173" s="907"/>
      <c r="F173" s="1811">
        <f>SUM('Revenues 9-14'!C271:D271,'Revenues 9-14'!F271:G271)</f>
        <v>146997</v>
      </c>
      <c r="G173" s="948"/>
    </row>
    <row r="174" spans="1:7" x14ac:dyDescent="0.2">
      <c r="A174" s="949" t="s">
        <v>689</v>
      </c>
      <c r="B174" s="945" t="s">
        <v>1552</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2002</v>
      </c>
      <c r="C175" s="1946">
        <v>3100</v>
      </c>
      <c r="D175" s="1947" t="s">
        <v>2005</v>
      </c>
      <c r="E175" s="907"/>
      <c r="F175" s="1931"/>
      <c r="G175" s="928"/>
    </row>
    <row r="176" spans="1:7" x14ac:dyDescent="0.2">
      <c r="A176" s="1944" t="s">
        <v>685</v>
      </c>
      <c r="B176" s="1945" t="s">
        <v>2002</v>
      </c>
      <c r="C176" s="1946">
        <v>3300</v>
      </c>
      <c r="D176" s="1947" t="s">
        <v>2006</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1958</v>
      </c>
      <c r="E178" s="1809" t="s">
        <v>1015</v>
      </c>
      <c r="F178" s="1810">
        <f>SUM(F84:F136,F161:F176)</f>
        <v>2691986</v>
      </c>
    </row>
    <row r="179" spans="1:7" ht="12" customHeight="1" x14ac:dyDescent="0.2">
      <c r="A179" s="1792"/>
      <c r="B179" s="1806"/>
      <c r="C179" s="1807"/>
      <c r="D179" s="1808" t="s">
        <v>1959</v>
      </c>
      <c r="E179" s="1809"/>
      <c r="F179" s="1811">
        <f>'PCTC-OEPP 27-28'!F77-F178</f>
        <v>153102</v>
      </c>
    </row>
    <row r="180" spans="1:7" ht="12" customHeight="1" x14ac:dyDescent="0.2">
      <c r="A180" s="1792"/>
      <c r="B180" s="1806"/>
      <c r="C180" s="1807"/>
      <c r="D180" s="1808" t="s">
        <v>1870</v>
      </c>
      <c r="E180" s="1809"/>
      <c r="F180" s="1811">
        <f>'Cap Outlay Deprec 26'!I18</f>
        <v>11490</v>
      </c>
    </row>
    <row r="181" spans="1:7" ht="12" customHeight="1" x14ac:dyDescent="0.2">
      <c r="A181" s="1792"/>
      <c r="B181" s="1806"/>
      <c r="C181" s="1807"/>
      <c r="D181" s="1808" t="s">
        <v>1960</v>
      </c>
      <c r="E181" s="1809"/>
      <c r="F181" s="1811">
        <f>F179+F180</f>
        <v>164592</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1961</v>
      </c>
      <c r="E183" s="1809" t="s">
        <v>1620</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2004</v>
      </c>
      <c r="B185" s="931"/>
      <c r="C185" s="950"/>
      <c r="D185" s="931"/>
      <c r="E185" s="950"/>
      <c r="F185" s="931"/>
      <c r="G185" s="931"/>
    </row>
    <row r="186" spans="1:7" s="1948" customFormat="1" ht="12.2" customHeight="1" x14ac:dyDescent="0.2">
      <c r="A186" s="1948" t="s">
        <v>2009</v>
      </c>
      <c r="B186" s="1949"/>
      <c r="C186" s="1950"/>
      <c r="D186" s="1949"/>
      <c r="E186" s="1950"/>
      <c r="F186" s="1949"/>
      <c r="G186" s="1949"/>
    </row>
    <row r="187" spans="1:7" s="1948" customFormat="1" ht="12.2" customHeight="1" x14ac:dyDescent="0.2">
      <c r="A187" s="1951" t="s">
        <v>2010</v>
      </c>
      <c r="C187" s="1950"/>
      <c r="D187" s="1949"/>
      <c r="E187" s="1950"/>
      <c r="F187" s="1949"/>
      <c r="G187" s="1949"/>
    </row>
    <row r="188" spans="1:7" ht="12" customHeight="1" x14ac:dyDescent="0.2">
      <c r="C188" s="950"/>
      <c r="D188" s="931"/>
      <c r="E188" s="950"/>
      <c r="F188" s="931"/>
      <c r="G188" s="931"/>
    </row>
    <row r="189" spans="1:7" x14ac:dyDescent="0.2">
      <c r="A189" s="1952" t="s">
        <v>2008</v>
      </c>
      <c r="B189" s="1953" t="s">
        <v>2007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26" sqref="A26"/>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1886</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1871</v>
      </c>
      <c r="B4" s="2289"/>
      <c r="C4" s="2289"/>
      <c r="D4" s="2289"/>
      <c r="E4" s="2289"/>
      <c r="F4" s="2289"/>
      <c r="G4" s="2290"/>
    </row>
    <row r="5" spans="1:7" x14ac:dyDescent="0.25">
      <c r="A5" s="2291"/>
      <c r="B5" s="2292"/>
      <c r="C5" s="2292"/>
      <c r="D5" s="2292"/>
      <c r="E5" s="2292"/>
      <c r="F5" s="2292"/>
      <c r="G5" s="2293"/>
    </row>
    <row r="6" spans="1:7" ht="18.75" x14ac:dyDescent="0.25">
      <c r="A6" s="1556" t="s">
        <v>1872</v>
      </c>
      <c r="B6" s="1557"/>
      <c r="C6" s="1557"/>
      <c r="D6" s="1557"/>
      <c r="E6" s="1557"/>
      <c r="F6" s="1557"/>
      <c r="G6" s="1558"/>
    </row>
    <row r="7" spans="1:7" ht="30.75" customHeight="1" x14ac:dyDescent="0.25">
      <c r="A7" s="2294" t="s">
        <v>2019</v>
      </c>
      <c r="B7" s="2295"/>
      <c r="C7" s="2295"/>
      <c r="D7" s="2295"/>
      <c r="E7" s="2295"/>
      <c r="F7" s="2295"/>
      <c r="G7" s="2296"/>
    </row>
    <row r="8" spans="1:7" ht="15.75" customHeight="1" x14ac:dyDescent="0.25">
      <c r="A8" s="2297" t="s">
        <v>1968</v>
      </c>
      <c r="B8" s="2298"/>
      <c r="C8" s="2298"/>
      <c r="D8" s="2298"/>
      <c r="E8" s="2298"/>
      <c r="F8" s="2298"/>
      <c r="G8" s="2299"/>
    </row>
    <row r="9" spans="1:7" ht="35.25" customHeight="1" x14ac:dyDescent="0.25">
      <c r="A9" s="2294" t="s">
        <v>1967</v>
      </c>
      <c r="B9" s="2295"/>
      <c r="C9" s="2295"/>
      <c r="D9" s="2295"/>
      <c r="E9" s="2295"/>
      <c r="F9" s="2295"/>
      <c r="G9" s="2296"/>
    </row>
    <row r="10" spans="1:7" ht="15" customHeight="1" x14ac:dyDescent="0.25">
      <c r="A10" s="1559" t="s">
        <v>1873</v>
      </c>
      <c r="B10" s="1560"/>
      <c r="C10" s="1560"/>
      <c r="D10" s="1560"/>
      <c r="E10" s="1560"/>
      <c r="F10" s="1560"/>
      <c r="G10" s="1561"/>
    </row>
    <row r="11" spans="1:7" ht="17.25" customHeight="1" x14ac:dyDescent="0.25">
      <c r="A11" s="2294" t="s">
        <v>1887</v>
      </c>
      <c r="B11" s="2295"/>
      <c r="C11" s="2295"/>
      <c r="D11" s="2295"/>
      <c r="E11" s="2295"/>
      <c r="F11" s="2295"/>
      <c r="G11" s="2296"/>
    </row>
    <row r="12" spans="1:7" ht="15" customHeight="1" x14ac:dyDescent="0.25">
      <c r="A12" s="1559" t="s">
        <v>1878</v>
      </c>
      <c r="B12" s="1560"/>
      <c r="C12" s="1560"/>
      <c r="D12" s="1560"/>
      <c r="E12" s="1560"/>
      <c r="F12" s="1560"/>
      <c r="G12" s="1561"/>
    </row>
    <row r="13" spans="1:7" ht="32.25" customHeight="1" x14ac:dyDescent="0.25">
      <c r="A13" s="2285" t="s">
        <v>1879</v>
      </c>
      <c r="B13" s="2286"/>
      <c r="C13" s="2286"/>
      <c r="D13" s="2286"/>
      <c r="E13" s="2286"/>
      <c r="F13" s="2286"/>
      <c r="G13" s="2287"/>
    </row>
    <row r="14" spans="1:7" x14ac:dyDescent="0.25">
      <c r="A14" s="1683" t="s">
        <v>1888</v>
      </c>
      <c r="B14" s="1684"/>
      <c r="C14" s="1684"/>
      <c r="D14" s="1684"/>
      <c r="E14" s="1684"/>
      <c r="F14" s="1684"/>
      <c r="G14" s="1685"/>
    </row>
    <row r="15" spans="1:7" ht="61.5" customHeight="1" x14ac:dyDescent="0.25">
      <c r="A15" s="1568" t="s">
        <v>1880</v>
      </c>
      <c r="B15" s="1568" t="s">
        <v>1881</v>
      </c>
      <c r="C15" s="1568" t="s">
        <v>1882</v>
      </c>
      <c r="D15" s="1569" t="s">
        <v>1883</v>
      </c>
      <c r="E15" s="1569" t="s">
        <v>1874</v>
      </c>
      <c r="F15" s="1569" t="s">
        <v>1884</v>
      </c>
      <c r="G15" s="1569" t="s">
        <v>1885</v>
      </c>
    </row>
    <row r="16" spans="1:7" x14ac:dyDescent="0.25">
      <c r="A16" s="1670" t="s">
        <v>1889</v>
      </c>
      <c r="B16" s="1671" t="s">
        <v>1877</v>
      </c>
      <c r="C16" s="1672" t="s">
        <v>1875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2040</v>
      </c>
      <c r="B17" s="1955" t="s">
        <v>2041</v>
      </c>
      <c r="C17" s="1956" t="s">
        <v>2042</v>
      </c>
      <c r="D17" s="1867">
        <f>42008+2018</f>
        <v>44026</v>
      </c>
      <c r="E17" s="1562">
        <f t="shared" ref="E17:E141" si="1">IF(D17&lt;=25000,D17,IF(D17&gt;25000,25000,0))</f>
        <v>25000</v>
      </c>
      <c r="F17" s="1815">
        <f t="shared" si="0"/>
        <v>25000</v>
      </c>
      <c r="G17" s="1816">
        <f>IF(F17=0,0,D17-F17)</f>
        <v>19026</v>
      </c>
      <c r="H17" s="1669"/>
    </row>
    <row r="18" spans="1:8" x14ac:dyDescent="0.25">
      <c r="A18" s="1954" t="s">
        <v>2040</v>
      </c>
      <c r="B18" s="1955" t="s">
        <v>2041</v>
      </c>
      <c r="C18" s="1956" t="s">
        <v>2043</v>
      </c>
      <c r="D18" s="1867">
        <v>967</v>
      </c>
      <c r="E18" s="1562">
        <f t="shared" ref="E18:E140" si="2">IF(D18&lt;=25000,D18,IF(D18&gt;25000,25000,0))</f>
        <v>967</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967</v>
      </c>
      <c r="G18" s="1816">
        <f t="shared" ref="G18:G140" si="4">IF(F18=0,0,D18-F18)</f>
        <v>0</v>
      </c>
    </row>
    <row r="19" spans="1:8" x14ac:dyDescent="0.25">
      <c r="A19" s="1954" t="s">
        <v>2040</v>
      </c>
      <c r="B19" s="1955" t="s">
        <v>2041</v>
      </c>
      <c r="C19" s="1956" t="s">
        <v>2044</v>
      </c>
      <c r="D19" s="1867">
        <v>4845</v>
      </c>
      <c r="E19" s="1562">
        <f t="shared" si="2"/>
        <v>4845</v>
      </c>
      <c r="F19" s="1815">
        <f t="shared" si="3"/>
        <v>4845</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hidden="1"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49838</v>
      </c>
      <c r="E141" s="1563">
        <f t="shared" si="1"/>
        <v>25000</v>
      </c>
      <c r="F141" s="1817">
        <f>SUM(F17:F140)</f>
        <v>30812</v>
      </c>
      <c r="G141" s="1818">
        <f>SUM(G17:G140)</f>
        <v>19026</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1417</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1764</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2020</v>
      </c>
      <c r="B10" s="972"/>
      <c r="C10" s="977"/>
      <c r="D10" s="973"/>
      <c r="E10" s="974"/>
      <c r="F10" s="975"/>
      <c r="G10" s="976"/>
      <c r="H10" s="162"/>
      <c r="I10" s="162"/>
    </row>
    <row r="11" spans="1:9" s="669" customFormat="1" ht="22.5" customHeight="1" x14ac:dyDescent="0.2">
      <c r="A11" s="2305" t="s">
        <v>1891</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1437</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19801</v>
      </c>
      <c r="F19" s="1822"/>
      <c r="G19" s="1824">
        <f>'Expenditures 15-22'!K33-SUM('Expenditures 15-22'!G33,'Expenditures 15-22'!I33)+'Expenditures 15-22'!D229</f>
        <v>19801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1811389</v>
      </c>
      <c r="F21" s="1825"/>
      <c r="G21" s="1828">
        <f>'Expenditures 15-22'!K42-SUM('Expenditures 15-22'!G42,'Expenditures 15-22'!I42)+'Expenditures 15-22'!K120-SUM('Expenditures 15-22'!G120,'Expenditures 15-22'!I120)+'Expenditures 15-22'!K180-SUM('Expenditures 15-22'!G180,'Expenditures 15-22'!I180)+'Expenditures 15-22'!D238</f>
        <v>1811389</v>
      </c>
      <c r="H21" s="988"/>
      <c r="I21" s="162"/>
    </row>
    <row r="22" spans="1:9" s="669" customFormat="1" ht="12" customHeight="1" x14ac:dyDescent="0.2">
      <c r="A22" s="995" t="s">
        <v>585</v>
      </c>
      <c r="B22" s="996"/>
      <c r="C22" s="994">
        <v>2200</v>
      </c>
      <c r="D22" s="1825"/>
      <c r="E22" s="1827">
        <f>'Expenditures 15-22'!K47-SUM('Expenditures 15-22'!G47,'Expenditures 15-22'!I47)+'Expenditures 15-22'!D243</f>
        <v>172712</v>
      </c>
      <c r="F22" s="1825"/>
      <c r="G22" s="1828">
        <f>'Expenditures 15-22'!K47-SUM('Expenditures 15-22'!G47,'Expenditures 15-22'!I47)+'Expenditures 15-22'!D243</f>
        <v>172712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735362</v>
      </c>
      <c r="F23" s="1825"/>
      <c r="G23" s="1827">
        <f>'Expenditures 15-22'!K53-SUM('Expenditures 15-22'!G53,'Expenditures 15-22'!I53)+'Expenditures 15-22'!D257+'Expenditures 15-22'!K330-SUM('Expenditures 15-22'!G330,'Expenditures 15-22'!I330)</f>
        <v>735362</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9264</v>
      </c>
      <c r="E26" s="1827">
        <f>'Expenditures 15-22'!K122-SUM('Expenditures 15-22'!G122,'Expenditures 15-22'!I122)+E7</f>
        <v>0</v>
      </c>
      <c r="F26" s="1827">
        <f>'Expenditures 15-22'!K59-SUM('Expenditures 15-22'!G59,'Expenditures 15-22'!I59)+'Expenditures 15-22'!D263-E7</f>
        <v>9264</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46723</v>
      </c>
      <c r="E27" s="1827">
        <f>E8</f>
        <v>0</v>
      </c>
      <c r="F27" s="1827">
        <f>'Expenditures 15-22'!K60-SUM('Expenditures 15-22'!G60,'Expenditures 15-22'!I60)+'Expenditures 15-22'!D264-E8</f>
        <v>46723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44993</v>
      </c>
      <c r="F28" s="1829">
        <f>'Expenditures 15-22'!K61-SUM('Expenditures 15-22'!G61,'Expenditures 15-22'!I61)+'Expenditures 15-22'!K124-SUM('Expenditures 15-22'!G124,'Expenditures 15-22'!I124)+'Expenditures 15-22'!D266-E9</f>
        <v>44993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4844</v>
      </c>
      <c r="E31" s="1827">
        <f>E12</f>
        <v>0</v>
      </c>
      <c r="F31" s="1827">
        <f>'Expenditures 15-22'!K64-SUM('Expenditures 15-22'!G64,'Expenditures 15-22'!I64)+'Expenditures 15-22'!D269-E12</f>
        <v>4844</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1876</v>
      </c>
      <c r="B40" s="992"/>
      <c r="C40" s="994"/>
      <c r="D40" s="1825"/>
      <c r="E40" s="1829">
        <f>-'Contracts Paid in CY 29'!G141</f>
        <v>-19026</v>
      </c>
      <c r="F40" s="1825"/>
      <c r="G40" s="1829">
        <f>-'Contracts Paid in CY 29'!G141</f>
        <v>-19026</v>
      </c>
    </row>
    <row r="41" spans="1:7" ht="12" customHeight="1" x14ac:dyDescent="0.2">
      <c r="A41" s="999" t="s">
        <v>158</v>
      </c>
      <c r="B41" s="1000"/>
      <c r="C41" s="1001"/>
      <c r="D41" s="1829">
        <f>SUM(D19:D39)</f>
        <v>60831</v>
      </c>
      <c r="E41" s="1829">
        <f>SUM(E19:E40)</f>
        <v>2765231</v>
      </c>
      <c r="F41" s="1829">
        <f>SUM(F19:F39)</f>
        <v>105824</v>
      </c>
      <c r="G41" s="1829">
        <f>SUM(G19:G40)</f>
        <v>2720238</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60831</v>
      </c>
      <c r="F43" s="1830" t="s">
        <v>495</v>
      </c>
      <c r="G43" s="1831">
        <f>F41</f>
        <v>105824</v>
      </c>
    </row>
    <row r="44" spans="1:7" ht="12" customHeight="1" x14ac:dyDescent="0.2">
      <c r="A44" s="988"/>
      <c r="B44" s="162"/>
      <c r="C44" s="1002"/>
      <c r="D44" s="1830" t="s">
        <v>494</v>
      </c>
      <c r="E44" s="1831">
        <f>E41</f>
        <v>2765231</v>
      </c>
      <c r="F44" s="1830" t="s">
        <v>494</v>
      </c>
      <c r="G44" s="1831">
        <f>G41</f>
        <v>2720238</v>
      </c>
    </row>
    <row r="45" spans="1:7" ht="12" customHeight="1" x14ac:dyDescent="0.2">
      <c r="A45" s="988"/>
      <c r="B45" s="162"/>
      <c r="C45" s="162"/>
      <c r="D45" s="1832" t="s">
        <v>1063</v>
      </c>
      <c r="E45" s="1833">
        <f>(E43/E44)</f>
        <v>2.1998523812296333E-2</v>
      </c>
      <c r="F45" s="1832" t="s">
        <v>1063</v>
      </c>
      <c r="G45" s="1833">
        <f>(G43/G44)</f>
        <v>3.8902478386082393E-2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1440</v>
      </c>
      <c r="B1" s="2311"/>
      <c r="C1" s="2311"/>
      <c r="D1" s="2311"/>
      <c r="E1" s="2311"/>
      <c r="F1" s="2311"/>
    </row>
    <row r="2" spans="1:10" x14ac:dyDescent="0.2">
      <c r="A2" s="1912" t="s">
        <v>1992</v>
      </c>
      <c r="B2" s="1873"/>
      <c r="C2" s="1912"/>
      <c r="D2" s="1873"/>
      <c r="E2" s="1873"/>
      <c r="F2" s="1874"/>
    </row>
    <row r="3" spans="1:10" x14ac:dyDescent="0.2">
      <c r="A3" s="1912" t="s">
        <v>1686</v>
      </c>
      <c r="B3" s="1873"/>
      <c r="C3" s="1912"/>
      <c r="D3" s="1873"/>
      <c r="E3" s="1873"/>
      <c r="F3" s="1874"/>
    </row>
    <row r="4" spans="1:10" ht="3.75" customHeight="1" x14ac:dyDescent="0.2">
      <c r="A4" s="1873"/>
      <c r="B4" s="1873"/>
      <c r="C4" s="1873"/>
      <c r="D4" s="1873"/>
      <c r="E4" s="1873"/>
      <c r="F4" s="1874"/>
    </row>
    <row r="5" spans="1:10" ht="15" x14ac:dyDescent="0.25">
      <c r="A5" s="2312" t="s">
        <v>1621</v>
      </c>
      <c r="B5" s="2313"/>
      <c r="C5" s="2314"/>
      <c r="D5" s="2314"/>
      <c r="E5" s="2314"/>
      <c r="F5" s="2314"/>
    </row>
    <row r="6" spans="1:10" ht="12" customHeight="1" x14ac:dyDescent="0.25">
      <c r="A6" s="1875"/>
      <c r="B6" s="1876"/>
      <c r="C6" s="2315" t="str">
        <f>COVER!A17</f>
        <v>BMP Tri County Special Ed Coop</v>
      </c>
      <c r="D6" s="2315"/>
      <c r="E6" s="2315"/>
      <c r="F6" s="1877"/>
    </row>
    <row r="7" spans="1:10" ht="11.25" customHeight="1" thickBot="1" x14ac:dyDescent="0.3">
      <c r="A7" s="1875"/>
      <c r="B7" s="1876"/>
      <c r="C7" s="2316">
        <f>COVER!A13</f>
        <v>35059005061</v>
      </c>
      <c r="D7" s="2316"/>
      <c r="E7" s="2316"/>
      <c r="F7" s="1877"/>
    </row>
    <row r="8" spans="1:10" ht="25.5" customHeight="1" thickBot="1" x14ac:dyDescent="0.25">
      <c r="A8" s="1918" t="s">
        <v>1969</v>
      </c>
      <c r="B8" s="1878"/>
      <c r="C8" s="1914" t="s">
        <v>1766</v>
      </c>
      <c r="D8" s="1913" t="s">
        <v>1767</v>
      </c>
      <c r="E8" s="1915" t="s">
        <v>1441</v>
      </c>
      <c r="F8" s="1913" t="s">
        <v>1768</v>
      </c>
      <c r="H8" s="1879" t="b">
        <v>0</v>
      </c>
    </row>
    <row r="9" spans="1:10" ht="15.75" customHeight="1" x14ac:dyDescent="0.2">
      <c r="A9" s="1880" t="s">
        <v>1617</v>
      </c>
      <c r="B9" s="1881"/>
      <c r="C9" s="1882"/>
      <c r="D9" s="1882"/>
      <c r="E9" s="1883"/>
      <c r="F9" s="1884"/>
    </row>
    <row r="10" spans="1:10" ht="27.75" customHeight="1" x14ac:dyDescent="0.2">
      <c r="A10" s="1885" t="s">
        <v>1765</v>
      </c>
      <c r="B10" s="1886"/>
      <c r="C10" s="1887"/>
      <c r="D10" s="1887"/>
      <c r="E10" s="1916" t="s">
        <v>1442</v>
      </c>
      <c r="F10" s="1917" t="s">
        <v>1443</v>
      </c>
    </row>
    <row r="11" spans="1:10" ht="12" customHeight="1" x14ac:dyDescent="0.2">
      <c r="A11" s="1888" t="s">
        <v>1444</v>
      </c>
      <c r="B11" s="1889"/>
      <c r="C11" s="1890"/>
      <c r="D11" s="1890"/>
      <c r="E11" s="1891"/>
      <c r="F11" s="1892"/>
      <c r="H11" s="1903">
        <f>IF(C11="X",5,0)</f>
        <v>0</v>
      </c>
      <c r="I11" s="1903">
        <f>IF(D11="X",5,0)</f>
        <v>0</v>
      </c>
      <c r="J11" s="1903">
        <f>IF(E11="X",5,0)</f>
        <v>0</v>
      </c>
    </row>
    <row r="12" spans="1:10" ht="12" customHeight="1" x14ac:dyDescent="0.2">
      <c r="A12" s="1888" t="s">
        <v>1445</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1446</v>
      </c>
      <c r="B13" s="1889"/>
      <c r="C13" s="1890"/>
      <c r="D13" s="1890"/>
      <c r="E13" s="1893"/>
      <c r="F13" s="1892"/>
      <c r="H13" s="1903">
        <f t="shared" si="0"/>
        <v>0</v>
      </c>
      <c r="I13" s="1903">
        <f t="shared" si="1"/>
        <v>0</v>
      </c>
      <c r="J13" s="1903">
        <f t="shared" si="2"/>
        <v>0</v>
      </c>
    </row>
    <row r="14" spans="1:10" ht="12" customHeight="1" x14ac:dyDescent="0.2">
      <c r="A14" s="1888" t="s">
        <v>1447</v>
      </c>
      <c r="B14" s="1889"/>
      <c r="C14" s="1890"/>
      <c r="D14" s="1890"/>
      <c r="E14" s="1893"/>
      <c r="F14" s="1892"/>
      <c r="H14" s="1903">
        <f t="shared" si="0"/>
        <v>0</v>
      </c>
      <c r="I14" s="1903">
        <f t="shared" si="1"/>
        <v>0</v>
      </c>
      <c r="J14" s="1903">
        <f t="shared" si="2"/>
        <v>0</v>
      </c>
    </row>
    <row r="15" spans="1:10" ht="12" customHeight="1" x14ac:dyDescent="0.2">
      <c r="A15" s="1888" t="s">
        <v>1448</v>
      </c>
      <c r="B15" s="1889"/>
      <c r="C15" s="1890"/>
      <c r="D15" s="1890"/>
      <c r="E15" s="1893"/>
      <c r="F15" s="1892"/>
      <c r="H15" s="1903">
        <f t="shared" si="0"/>
        <v>0</v>
      </c>
      <c r="I15" s="1903">
        <f t="shared" si="1"/>
        <v>0</v>
      </c>
      <c r="J15" s="1903">
        <f t="shared" si="2"/>
        <v>0</v>
      </c>
    </row>
    <row r="16" spans="1:10" ht="12" customHeight="1" x14ac:dyDescent="0.2">
      <c r="A16" s="1888" t="s">
        <v>1449</v>
      </c>
      <c r="B16" s="1889"/>
      <c r="C16" s="1890"/>
      <c r="D16" s="1890"/>
      <c r="E16" s="1893"/>
      <c r="F16" s="1892"/>
      <c r="H16" s="1903">
        <f t="shared" si="0"/>
        <v>0</v>
      </c>
      <c r="I16" s="1903">
        <f t="shared" si="1"/>
        <v>0</v>
      </c>
      <c r="J16" s="1903">
        <f t="shared" si="2"/>
        <v>0</v>
      </c>
    </row>
    <row r="17" spans="1:12" ht="12" customHeight="1" x14ac:dyDescent="0.2">
      <c r="A17" s="1888" t="s">
        <v>1450</v>
      </c>
      <c r="B17" s="1889"/>
      <c r="C17" s="1890"/>
      <c r="D17" s="1890"/>
      <c r="E17" s="1893"/>
      <c r="F17" s="1892"/>
      <c r="H17" s="1903">
        <f t="shared" si="0"/>
        <v>0</v>
      </c>
      <c r="I17" s="1903">
        <f t="shared" si="1"/>
        <v>0</v>
      </c>
      <c r="J17" s="1903">
        <f t="shared" si="2"/>
        <v>0</v>
      </c>
    </row>
    <row r="18" spans="1:12" ht="12" customHeight="1" x14ac:dyDescent="0.2">
      <c r="A18" s="1888" t="s">
        <v>1451</v>
      </c>
      <c r="B18" s="1889"/>
      <c r="C18" s="1890"/>
      <c r="D18" s="1890"/>
      <c r="E18" s="1893"/>
      <c r="F18" s="1892"/>
      <c r="H18" s="1903">
        <f t="shared" si="0"/>
        <v>0</v>
      </c>
      <c r="I18" s="1903">
        <f t="shared" si="1"/>
        <v>0</v>
      </c>
      <c r="J18" s="1903">
        <f t="shared" si="2"/>
        <v>0</v>
      </c>
    </row>
    <row r="19" spans="1:12" ht="12" customHeight="1" x14ac:dyDescent="0.2">
      <c r="A19" s="1888" t="s">
        <v>1602</v>
      </c>
      <c r="B19" s="1889"/>
      <c r="C19" s="1890"/>
      <c r="D19" s="1890"/>
      <c r="E19" s="1893"/>
      <c r="F19" s="1892"/>
      <c r="H19" s="1903">
        <f t="shared" si="0"/>
        <v>0</v>
      </c>
      <c r="I19" s="1903">
        <f t="shared" si="1"/>
        <v>0</v>
      </c>
      <c r="J19" s="1903">
        <f t="shared" si="2"/>
        <v>0</v>
      </c>
    </row>
    <row r="20" spans="1:12" ht="12" customHeight="1" x14ac:dyDescent="0.2">
      <c r="A20" s="1888" t="s">
        <v>1603</v>
      </c>
      <c r="B20" s="1889"/>
      <c r="C20" s="1890"/>
      <c r="D20" s="1890"/>
      <c r="E20" s="1893"/>
      <c r="F20" s="1892"/>
      <c r="H20" s="1903">
        <f t="shared" si="0"/>
        <v>0</v>
      </c>
      <c r="I20" s="1903">
        <f t="shared" si="1"/>
        <v>0</v>
      </c>
      <c r="J20" s="1903">
        <f t="shared" si="2"/>
        <v>0</v>
      </c>
    </row>
    <row r="21" spans="1:12" ht="12" customHeight="1" x14ac:dyDescent="0.2">
      <c r="A21" s="1888" t="s">
        <v>1604</v>
      </c>
      <c r="B21" s="1889"/>
      <c r="C21" s="1890"/>
      <c r="D21" s="1890"/>
      <c r="E21" s="1893"/>
      <c r="F21" s="1892"/>
      <c r="H21" s="1903">
        <f t="shared" si="0"/>
        <v>0</v>
      </c>
      <c r="I21" s="1903">
        <f t="shared" si="1"/>
        <v>0</v>
      </c>
      <c r="J21" s="1903">
        <f t="shared" si="2"/>
        <v>0</v>
      </c>
    </row>
    <row r="22" spans="1:12" ht="12" customHeight="1" x14ac:dyDescent="0.2">
      <c r="A22" s="1888" t="s">
        <v>1605</v>
      </c>
      <c r="B22" s="1889"/>
      <c r="C22" s="1890"/>
      <c r="D22" s="1890"/>
      <c r="E22" s="1893"/>
      <c r="F22" s="1892"/>
      <c r="H22" s="1903">
        <f t="shared" si="0"/>
        <v>0</v>
      </c>
      <c r="I22" s="1903">
        <f t="shared" si="1"/>
        <v>0</v>
      </c>
      <c r="J22" s="1903">
        <f t="shared" si="2"/>
        <v>0</v>
      </c>
    </row>
    <row r="23" spans="1:12" ht="12" customHeight="1" x14ac:dyDescent="0.2">
      <c r="A23" s="1888" t="s">
        <v>1606</v>
      </c>
      <c r="B23" s="1889"/>
      <c r="C23" s="1890"/>
      <c r="D23" s="1890"/>
      <c r="E23" s="1893"/>
      <c r="F23" s="1892"/>
      <c r="H23" s="1903">
        <f t="shared" si="0"/>
        <v>0</v>
      </c>
      <c r="I23" s="1903">
        <f t="shared" si="1"/>
        <v>0</v>
      </c>
      <c r="J23" s="1903">
        <f t="shared" si="2"/>
        <v>0</v>
      </c>
    </row>
    <row r="24" spans="1:12" ht="12" customHeight="1" x14ac:dyDescent="0.2">
      <c r="A24" s="1888" t="s">
        <v>1607</v>
      </c>
      <c r="B24" s="1889"/>
      <c r="C24" s="1890"/>
      <c r="D24" s="1890"/>
      <c r="E24" s="1893"/>
      <c r="F24" s="1892"/>
      <c r="H24" s="1903">
        <f t="shared" si="0"/>
        <v>0</v>
      </c>
      <c r="I24" s="1903">
        <f t="shared" si="1"/>
        <v>0</v>
      </c>
      <c r="J24" s="1903">
        <f t="shared" si="2"/>
        <v>0</v>
      </c>
    </row>
    <row r="25" spans="1:12" ht="12" customHeight="1" x14ac:dyDescent="0.2">
      <c r="A25" s="1888" t="s">
        <v>1608</v>
      </c>
      <c r="B25" s="1889"/>
      <c r="C25" s="1890"/>
      <c r="D25" s="1890"/>
      <c r="E25" s="1893"/>
      <c r="F25" s="1892"/>
      <c r="H25" s="1903">
        <f t="shared" si="0"/>
        <v>0</v>
      </c>
      <c r="I25" s="1903">
        <f t="shared" si="1"/>
        <v>0</v>
      </c>
      <c r="J25" s="1903">
        <f t="shared" si="2"/>
        <v>0</v>
      </c>
    </row>
    <row r="26" spans="1:12" ht="12" customHeight="1" x14ac:dyDescent="0.2">
      <c r="A26" s="1888" t="s">
        <v>1609</v>
      </c>
      <c r="B26" s="1889"/>
      <c r="C26" s="1890" t="s">
        <v>2021</v>
      </c>
      <c r="D26" s="1890" t="s">
        <v>2021</v>
      </c>
      <c r="E26" s="1893"/>
      <c r="F26" s="1892" t="s">
        <v>2037</v>
      </c>
      <c r="H26" s="1903">
        <f t="shared" si="0"/>
        <v>5</v>
      </c>
      <c r="I26" s="1903">
        <f t="shared" si="1"/>
        <v>5</v>
      </c>
      <c r="J26" s="1903">
        <f t="shared" si="2"/>
        <v>0</v>
      </c>
    </row>
    <row r="27" spans="1:12" ht="18.75" x14ac:dyDescent="0.2">
      <c r="A27" s="1888" t="s">
        <v>1610</v>
      </c>
      <c r="B27" s="1889"/>
      <c r="C27" s="1890"/>
      <c r="D27" s="1890"/>
      <c r="E27" s="1893"/>
      <c r="F27" s="1892"/>
      <c r="H27" s="1903">
        <f t="shared" si="0"/>
        <v>0</v>
      </c>
      <c r="I27" s="1903">
        <f t="shared" si="1"/>
        <v>0</v>
      </c>
      <c r="J27" s="1903">
        <f t="shared" si="2"/>
        <v>0</v>
      </c>
    </row>
    <row r="28" spans="1:12" ht="12" customHeight="1" x14ac:dyDescent="0.2">
      <c r="A28" s="1888" t="s">
        <v>1611</v>
      </c>
      <c r="B28" s="1889"/>
      <c r="C28" s="1890"/>
      <c r="D28" s="1890"/>
      <c r="E28" s="1893"/>
      <c r="F28" s="1892"/>
      <c r="H28" s="1903">
        <f t="shared" si="0"/>
        <v>0</v>
      </c>
      <c r="I28" s="1903">
        <f t="shared" si="1"/>
        <v>0</v>
      </c>
      <c r="J28" s="1903">
        <f t="shared" si="2"/>
        <v>0</v>
      </c>
    </row>
    <row r="29" spans="1:12" ht="12" customHeight="1" x14ac:dyDescent="0.2">
      <c r="A29" s="1888" t="s">
        <v>1612</v>
      </c>
      <c r="B29" s="1889"/>
      <c r="C29" s="1890"/>
      <c r="D29" s="1890"/>
      <c r="E29" s="1893"/>
      <c r="F29" s="1892"/>
      <c r="H29" s="1903">
        <f t="shared" si="0"/>
        <v>0</v>
      </c>
      <c r="I29" s="1903">
        <f t="shared" si="1"/>
        <v>0</v>
      </c>
      <c r="J29" s="1903">
        <f t="shared" si="2"/>
        <v>0</v>
      </c>
    </row>
    <row r="30" spans="1:12" ht="12" customHeight="1" x14ac:dyDescent="0.2">
      <c r="A30" s="1888" t="s">
        <v>1613</v>
      </c>
      <c r="B30" s="1889"/>
      <c r="C30" s="1890"/>
      <c r="D30" s="1890"/>
      <c r="E30" s="1893"/>
      <c r="F30" s="1892"/>
      <c r="H30" s="1903">
        <f t="shared" si="0"/>
        <v>0</v>
      </c>
      <c r="I30" s="1903">
        <f t="shared" si="1"/>
        <v>0</v>
      </c>
      <c r="J30" s="1903">
        <f t="shared" si="2"/>
        <v>0</v>
      </c>
    </row>
    <row r="31" spans="1:12" ht="12" customHeight="1" x14ac:dyDescent="0.2">
      <c r="A31" s="1888" t="s">
        <v>1614</v>
      </c>
      <c r="B31" s="1889"/>
      <c r="C31" s="1890"/>
      <c r="D31" s="1890"/>
      <c r="E31" s="1893"/>
      <c r="F31" s="1892"/>
      <c r="H31" s="1903">
        <f t="shared" si="0"/>
        <v>0</v>
      </c>
      <c r="I31" s="1903">
        <f t="shared" si="1"/>
        <v>0</v>
      </c>
      <c r="J31" s="1903">
        <f t="shared" si="2"/>
        <v>0</v>
      </c>
      <c r="L31" s="1894"/>
    </row>
    <row r="32" spans="1:12" ht="12" customHeight="1" x14ac:dyDescent="0.2">
      <c r="A32" s="1888" t="s">
        <v>1615</v>
      </c>
      <c r="B32" s="1889"/>
      <c r="C32" s="1890"/>
      <c r="D32" s="1890"/>
      <c r="E32" s="1893"/>
      <c r="F32" s="1892"/>
      <c r="H32" s="1903">
        <f t="shared" si="0"/>
        <v>0</v>
      </c>
      <c r="I32" s="1903">
        <f t="shared" si="1"/>
        <v>0</v>
      </c>
      <c r="J32" s="1903">
        <f t="shared" si="2"/>
        <v>0</v>
      </c>
    </row>
    <row r="33" spans="1:11" ht="12" customHeight="1" x14ac:dyDescent="0.2">
      <c r="A33" s="1888" t="s">
        <v>1616</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1453</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1452</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BMP Tri County Special Ed Coop</v>
      </c>
      <c r="J6" s="2336"/>
      <c r="Q6" s="1686"/>
    </row>
    <row r="7" spans="1:17" x14ac:dyDescent="0.2">
      <c r="A7" s="2337" t="s">
        <v>924</v>
      </c>
      <c r="B7" s="2338"/>
      <c r="C7" s="2338"/>
      <c r="D7" s="2338"/>
      <c r="E7" s="2339"/>
      <c r="F7" s="1018"/>
      <c r="G7" s="1010"/>
      <c r="H7" s="1017" t="s">
        <v>390</v>
      </c>
      <c r="I7" s="2340">
        <f>COVER!A13</f>
        <v>35059005061</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1687</v>
      </c>
      <c r="F9" s="1024"/>
      <c r="G9" s="1024"/>
      <c r="H9" s="1921" t="s">
        <v>1688</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195105</v>
      </c>
      <c r="F12" s="1040"/>
      <c r="G12" s="1834">
        <f t="shared" ref="G12:G18" si="0">SUM(E12:F12)</f>
        <v>195105</v>
      </c>
      <c r="H12" s="1041">
        <f>195105*1.05</f>
        <v>204860.25</v>
      </c>
      <c r="I12" s="1040"/>
      <c r="J12" s="1834">
        <f t="shared" ref="J12:J18" si="1">SUM(H12:I12)</f>
        <v>204860.25</v>
      </c>
    </row>
    <row r="13" spans="1:17" ht="15" customHeight="1" x14ac:dyDescent="0.2">
      <c r="A13" s="1036">
        <v>2</v>
      </c>
      <c r="B13" s="1037" t="s">
        <v>44</v>
      </c>
      <c r="C13" s="1038"/>
      <c r="D13" s="1039">
        <v>2330</v>
      </c>
      <c r="E13" s="1834">
        <f>'Expenditures 15-22'!K51</f>
        <v>476754</v>
      </c>
      <c r="F13" s="1040"/>
      <c r="G13" s="1834">
        <f t="shared" si="0"/>
        <v>476754</v>
      </c>
      <c r="H13" s="1041">
        <f>476754*1.05</f>
        <v>500591.7</v>
      </c>
      <c r="I13" s="1040"/>
      <c r="J13" s="1834">
        <f t="shared" si="1"/>
        <v>500591.7</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9264</v>
      </c>
      <c r="F15" s="1834">
        <f>'Expenditures 15-22'!K122</f>
        <v>0</v>
      </c>
      <c r="G15" s="1834">
        <f t="shared" si="0"/>
        <v>9264</v>
      </c>
      <c r="H15" s="1041">
        <f>9264*1.05</f>
        <v>9727.2000000000007</v>
      </c>
      <c r="I15" s="1041"/>
      <c r="J15" s="1834">
        <f t="shared" si="1"/>
        <v>9727.2000000000007</v>
      </c>
    </row>
    <row r="16" spans="1:17" ht="15" customHeight="1" x14ac:dyDescent="0.2">
      <c r="A16" s="1036">
        <v>5</v>
      </c>
      <c r="B16" s="1037" t="s">
        <v>103</v>
      </c>
      <c r="C16" s="1038"/>
      <c r="D16" s="1039">
        <v>2570</v>
      </c>
      <c r="E16" s="1834">
        <f>'Expenditures 15-22'!K64</f>
        <v>4844</v>
      </c>
      <c r="F16" s="1040"/>
      <c r="G16" s="1834">
        <f t="shared" si="0"/>
        <v>4844</v>
      </c>
      <c r="H16" s="1041">
        <f>4844*1.05</f>
        <v>5086.2</v>
      </c>
      <c r="I16" s="1040"/>
      <c r="J16" s="1834">
        <f t="shared" si="1"/>
        <v>5086.2</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685967</v>
      </c>
      <c r="F19" s="1836">
        <f t="shared" si="2"/>
        <v>0</v>
      </c>
      <c r="G19" s="1836">
        <f t="shared" si="2"/>
        <v>685967</v>
      </c>
      <c r="H19" s="1836">
        <f t="shared" si="2"/>
        <v>720265.34999999986</v>
      </c>
      <c r="I19" s="1836">
        <f t="shared" si="2"/>
        <v>0</v>
      </c>
      <c r="J19" s="1836">
        <f t="shared" si="2"/>
        <v>720265.34999999986</v>
      </c>
    </row>
    <row r="20" spans="1:10" ht="13.5" thickTop="1" x14ac:dyDescent="0.2">
      <c r="A20" s="1036">
        <v>9</v>
      </c>
      <c r="B20" s="2347" t="s">
        <v>1689</v>
      </c>
      <c r="C20" s="2347"/>
      <c r="D20" s="2348"/>
      <c r="E20" s="1047"/>
      <c r="F20" s="1047"/>
      <c r="G20" s="1047"/>
      <c r="H20" s="1047"/>
      <c r="I20" s="1047"/>
      <c r="J20" s="1837">
        <f>IF(AND(G19&gt;0,J19&gt;0),(((J19-G19)/G19)),"Enter Budget Data")</f>
        <v>4.9999999999999795E-2</v>
      </c>
    </row>
    <row r="21" spans="1:10" ht="9" customHeight="1" x14ac:dyDescent="0.2">
      <c r="B21" s="1048"/>
    </row>
    <row r="22" spans="1:10" x14ac:dyDescent="0.2">
      <c r="A22" s="1049" t="s">
        <v>135</v>
      </c>
      <c r="B22" s="1048"/>
    </row>
    <row r="23" spans="1:10" x14ac:dyDescent="0.2">
      <c r="A23" s="1012" t="s">
        <v>1690</v>
      </c>
      <c r="B23" s="1048"/>
    </row>
    <row r="24" spans="1:10" x14ac:dyDescent="0.2">
      <c r="A24" s="1012" t="s">
        <v>1691</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1583</v>
      </c>
      <c r="G27" s="2349"/>
    </row>
    <row r="28" spans="1:10" ht="28.5" customHeight="1" x14ac:dyDescent="0.2">
      <c r="B28" s="1048"/>
      <c r="C28" s="2351"/>
      <c r="D28" s="2351"/>
      <c r="E28" s="1055"/>
      <c r="F28" s="2351"/>
      <c r="G28" s="2351"/>
    </row>
    <row r="29" spans="1:10" x14ac:dyDescent="0.2">
      <c r="B29" s="1048"/>
      <c r="C29" s="1056" t="s">
        <v>1635</v>
      </c>
      <c r="E29" s="1057"/>
      <c r="F29" s="2350" t="s">
        <v>1584</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1890</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2038</v>
      </c>
    </row>
    <row r="6" spans="1:2" x14ac:dyDescent="0.2">
      <c r="A6" s="1069">
        <v>2</v>
      </c>
      <c r="B6" s="329" t="s">
        <v>2039</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BMP Tri County Special Ed Coop</v>
      </c>
    </row>
    <row r="65" spans="2:2" x14ac:dyDescent="0.2">
      <c r="B65" s="1071">
        <f>COVER!A13</f>
        <v>35059005061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1915</v>
      </c>
      <c r="C4" s="162" t="s">
        <v>1231</v>
      </c>
      <c r="D4" s="169" t="s">
        <v>10</v>
      </c>
      <c r="E4" s="170" t="s">
        <v>22</v>
      </c>
    </row>
    <row r="5" spans="1:5" x14ac:dyDescent="0.2">
      <c r="A5" s="168" t="s">
        <v>1917</v>
      </c>
      <c r="C5" s="162" t="s">
        <v>1231</v>
      </c>
      <c r="D5" s="169" t="s">
        <v>10</v>
      </c>
      <c r="E5" s="170" t="s">
        <v>22</v>
      </c>
    </row>
    <row r="6" spans="1:5" x14ac:dyDescent="0.2">
      <c r="A6" s="168" t="s">
        <v>1916</v>
      </c>
      <c r="C6" s="162" t="s">
        <v>1231</v>
      </c>
      <c r="D6" s="167" t="s">
        <v>11</v>
      </c>
      <c r="E6" s="170" t="s">
        <v>998</v>
      </c>
    </row>
    <row r="7" spans="1:5" x14ac:dyDescent="0.2">
      <c r="A7" s="168" t="s">
        <v>1918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1919</v>
      </c>
      <c r="C11" s="162" t="s">
        <v>1231</v>
      </c>
      <c r="D11" s="169" t="s">
        <v>14</v>
      </c>
      <c r="E11" s="170" t="s">
        <v>1218</v>
      </c>
    </row>
    <row r="12" spans="1:5" x14ac:dyDescent="0.2">
      <c r="B12" s="169" t="s">
        <v>1920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1921</v>
      </c>
      <c r="C15" s="162" t="s">
        <v>1231</v>
      </c>
      <c r="D15" s="169" t="s">
        <v>17</v>
      </c>
      <c r="E15" s="170" t="s">
        <v>657</v>
      </c>
    </row>
    <row r="16" spans="1:5" x14ac:dyDescent="0.2">
      <c r="A16" s="172"/>
      <c r="B16" s="162" t="s">
        <v>1922</v>
      </c>
      <c r="C16" s="162" t="s">
        <v>1231</v>
      </c>
      <c r="D16" s="169" t="s">
        <v>702</v>
      </c>
      <c r="E16" s="170" t="s">
        <v>1100</v>
      </c>
    </row>
    <row r="17" spans="1:5" x14ac:dyDescent="0.2">
      <c r="B17" s="167" t="s">
        <v>1045</v>
      </c>
      <c r="C17" s="162" t="s">
        <v>1231</v>
      </c>
    </row>
    <row r="18" spans="1:5" x14ac:dyDescent="0.2">
      <c r="B18" s="167" t="s">
        <v>1928</v>
      </c>
      <c r="D18" s="169" t="s">
        <v>18</v>
      </c>
      <c r="E18" s="170" t="s">
        <v>1101</v>
      </c>
    </row>
    <row r="19" spans="1:5" x14ac:dyDescent="0.2">
      <c r="A19" s="168" t="s">
        <v>1161</v>
      </c>
      <c r="C19" s="162" t="s">
        <v>1231</v>
      </c>
      <c r="D19" s="169"/>
      <c r="E19" s="171"/>
    </row>
    <row r="20" spans="1:5" x14ac:dyDescent="0.2">
      <c r="B20" s="167" t="s">
        <v>1923</v>
      </c>
      <c r="C20" s="162" t="s">
        <v>1231</v>
      </c>
      <c r="D20" s="169" t="s">
        <v>19</v>
      </c>
      <c r="E20" s="170" t="s">
        <v>53</v>
      </c>
    </row>
    <row r="21" spans="1:5" x14ac:dyDescent="0.2">
      <c r="B21" s="167" t="s">
        <v>1924</v>
      </c>
      <c r="C21" s="162" t="s">
        <v>1231</v>
      </c>
      <c r="D21" s="169" t="s">
        <v>20</v>
      </c>
      <c r="E21" s="170" t="s">
        <v>1694</v>
      </c>
    </row>
    <row r="22" spans="1:5" x14ac:dyDescent="0.2">
      <c r="A22" s="168"/>
      <c r="B22" s="162" t="s">
        <v>1912</v>
      </c>
      <c r="C22" s="162" t="s">
        <v>1231</v>
      </c>
      <c r="D22" s="167" t="s">
        <v>1914</v>
      </c>
      <c r="E22" s="1859" t="s">
        <v>1695</v>
      </c>
    </row>
    <row r="23" spans="1:5" x14ac:dyDescent="0.2">
      <c r="A23" s="168"/>
      <c r="B23" s="162" t="s">
        <v>1913</v>
      </c>
      <c r="D23" s="167" t="s">
        <v>658</v>
      </c>
      <c r="E23" s="1859" t="s">
        <v>1016</v>
      </c>
    </row>
    <row r="24" spans="1:5" x14ac:dyDescent="0.2">
      <c r="A24" s="168" t="s">
        <v>1693</v>
      </c>
      <c r="C24" s="162" t="s">
        <v>1231</v>
      </c>
      <c r="D24" s="167" t="s">
        <v>1454</v>
      </c>
      <c r="E24" s="170" t="s">
        <v>1017</v>
      </c>
    </row>
    <row r="25" spans="1:5" x14ac:dyDescent="0.2">
      <c r="A25" s="168" t="s">
        <v>1925</v>
      </c>
      <c r="C25" s="162" t="s">
        <v>1231</v>
      </c>
      <c r="D25" s="169" t="s">
        <v>21</v>
      </c>
      <c r="E25" s="170" t="s">
        <v>1102</v>
      </c>
    </row>
    <row r="26" spans="1:5" x14ac:dyDescent="0.2">
      <c r="A26" s="168" t="s">
        <v>1926</v>
      </c>
      <c r="C26" s="162" t="s">
        <v>1231</v>
      </c>
      <c r="D26" s="169" t="s">
        <v>584</v>
      </c>
      <c r="E26" s="170" t="s">
        <v>1103</v>
      </c>
    </row>
    <row r="27" spans="1:5" x14ac:dyDescent="0.2">
      <c r="A27" s="168" t="s">
        <v>1927</v>
      </c>
      <c r="C27" s="162" t="s">
        <v>1231</v>
      </c>
      <c r="D27" s="169" t="s">
        <v>578</v>
      </c>
      <c r="E27" s="170" t="s">
        <v>704</v>
      </c>
    </row>
    <row r="28" spans="1:5" x14ac:dyDescent="0.2">
      <c r="A28" s="168" t="s">
        <v>1929</v>
      </c>
      <c r="D28" s="169" t="s">
        <v>705</v>
      </c>
      <c r="E28" s="170" t="s">
        <v>1427</v>
      </c>
    </row>
    <row r="29" spans="1:5" x14ac:dyDescent="0.2">
      <c r="A29" s="168" t="s">
        <v>1930</v>
      </c>
      <c r="D29" s="169" t="s">
        <v>1455</v>
      </c>
      <c r="E29" s="170" t="s">
        <v>1436</v>
      </c>
    </row>
    <row r="30" spans="1:5" x14ac:dyDescent="0.2">
      <c r="A30" s="173" t="s">
        <v>1931</v>
      </c>
      <c r="C30" s="162" t="s">
        <v>1231</v>
      </c>
      <c r="D30" s="169" t="s">
        <v>42</v>
      </c>
      <c r="E30" s="170" t="s">
        <v>1039</v>
      </c>
    </row>
    <row r="31" spans="1:5" x14ac:dyDescent="0.2">
      <c r="A31" s="168" t="s">
        <v>1596</v>
      </c>
      <c r="C31" s="162" t="s">
        <v>1231</v>
      </c>
      <c r="D31" s="167"/>
      <c r="E31" s="171"/>
    </row>
    <row r="32" spans="1:5" x14ac:dyDescent="0.2">
      <c r="B32" s="167" t="s">
        <v>1932</v>
      </c>
      <c r="C32" s="162" t="s">
        <v>1231</v>
      </c>
      <c r="D32" s="169" t="s">
        <v>1597</v>
      </c>
      <c r="E32" s="170" t="s">
        <v>1456</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1692</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1962</v>
      </c>
    </row>
    <row r="45" spans="1:5" ht="6.75" customHeight="1" x14ac:dyDescent="0.2">
      <c r="A45" s="187"/>
      <c r="B45" s="186"/>
    </row>
    <row r="46" spans="1:5" x14ac:dyDescent="0.2">
      <c r="A46" s="185" t="s">
        <v>1041</v>
      </c>
      <c r="B46" s="169" t="s">
        <v>1697</v>
      </c>
    </row>
    <row r="47" spans="1:5" ht="9.75" customHeight="1" x14ac:dyDescent="0.2">
      <c r="A47" s="189"/>
      <c r="B47" s="188"/>
    </row>
    <row r="48" spans="1:5" x14ac:dyDescent="0.2">
      <c r="A48" s="169" t="s">
        <v>1696</v>
      </c>
      <c r="B48" s="169" t="s">
        <v>1701</v>
      </c>
      <c r="C48" s="177"/>
    </row>
    <row r="49" spans="1:3" ht="9.75" customHeight="1" x14ac:dyDescent="0.2">
      <c r="A49" s="188"/>
      <c r="B49" s="188"/>
      <c r="C49" s="177"/>
    </row>
    <row r="50" spans="1:3" x14ac:dyDescent="0.2">
      <c r="A50" s="200" t="s">
        <v>1698</v>
      </c>
      <c r="B50" s="198" t="s">
        <v>1702</v>
      </c>
    </row>
    <row r="51" spans="1:3" x14ac:dyDescent="0.2">
      <c r="B51" s="169" t="s">
        <v>1820</v>
      </c>
    </row>
    <row r="52" spans="1:3" x14ac:dyDescent="0.2">
      <c r="A52" s="190"/>
      <c r="B52" s="188" t="s">
        <v>1840</v>
      </c>
    </row>
    <row r="53" spans="1:3" ht="4.5" customHeight="1" x14ac:dyDescent="0.2">
      <c r="A53" s="190"/>
      <c r="B53" s="190"/>
    </row>
    <row r="54" spans="1:3" x14ac:dyDescent="0.2">
      <c r="A54" s="190"/>
      <c r="B54" s="201" t="s">
        <v>1699</v>
      </c>
    </row>
    <row r="55" spans="1:3" ht="8.25" customHeight="1" x14ac:dyDescent="0.2">
      <c r="A55" s="190"/>
      <c r="B55" s="191"/>
    </row>
    <row r="56" spans="1:3" x14ac:dyDescent="0.2">
      <c r="A56" s="192"/>
      <c r="B56" s="169" t="s">
        <v>1821</v>
      </c>
    </row>
    <row r="57" spans="1:3" x14ac:dyDescent="0.2">
      <c r="A57" s="193"/>
      <c r="B57" s="190" t="s">
        <v>1823</v>
      </c>
    </row>
    <row r="58" spans="1:3" x14ac:dyDescent="0.2">
      <c r="A58" s="194"/>
      <c r="B58" s="190" t="s">
        <v>1824</v>
      </c>
    </row>
    <row r="59" spans="1:3" x14ac:dyDescent="0.2">
      <c r="A59" s="195"/>
      <c r="B59" s="1507" t="s">
        <v>1825</v>
      </c>
    </row>
    <row r="60" spans="1:3" x14ac:dyDescent="0.2">
      <c r="A60" s="196"/>
      <c r="B60" s="1507" t="s">
        <v>1826</v>
      </c>
    </row>
    <row r="61" spans="1:3" ht="6" customHeight="1" x14ac:dyDescent="0.2">
      <c r="A61" s="197"/>
      <c r="B61" s="189"/>
    </row>
    <row r="62" spans="1:3" x14ac:dyDescent="0.2">
      <c r="A62" s="169" t="s">
        <v>1700</v>
      </c>
      <c r="B62" s="198" t="s">
        <v>1822</v>
      </c>
    </row>
    <row r="63" spans="1:3" x14ac:dyDescent="0.2">
      <c r="A63" s="188"/>
      <c r="B63" s="169" t="s">
        <v>1837</v>
      </c>
    </row>
    <row r="64" spans="1:3" x14ac:dyDescent="0.2">
      <c r="A64" s="195"/>
      <c r="B64" s="1509" t="s">
        <v>1827</v>
      </c>
    </row>
    <row r="65" spans="1:9" x14ac:dyDescent="0.2">
      <c r="A65" s="188"/>
      <c r="B65" s="169" t="s">
        <v>1838</v>
      </c>
    </row>
    <row r="66" spans="1:9" x14ac:dyDescent="0.2">
      <c r="A66" s="190"/>
      <c r="B66" s="190" t="s">
        <v>1828</v>
      </c>
    </row>
    <row r="67" spans="1:9" ht="12" customHeight="1" x14ac:dyDescent="0.2">
      <c r="A67" s="188"/>
      <c r="B67" s="169" t="s">
        <v>1839</v>
      </c>
    </row>
    <row r="68" spans="1:9" x14ac:dyDescent="0.2">
      <c r="A68" s="189"/>
      <c r="B68" s="190" t="s">
        <v>1829</v>
      </c>
    </row>
    <row r="69" spans="1:9" x14ac:dyDescent="0.2">
      <c r="A69" s="190"/>
      <c r="B69" s="188" t="s">
        <v>1830</v>
      </c>
    </row>
    <row r="70" spans="1:9" ht="13.5" customHeight="1" x14ac:dyDescent="0.2">
      <c r="A70" s="190"/>
      <c r="B70" s="188" t="s">
        <v>1831</v>
      </c>
    </row>
    <row r="71" spans="1:9" ht="12" customHeight="1" x14ac:dyDescent="0.2">
      <c r="A71" s="192"/>
      <c r="B71" s="1508" t="s">
        <v>1703</v>
      </c>
    </row>
    <row r="72" spans="1:9" ht="9" customHeight="1" x14ac:dyDescent="0.2">
      <c r="A72" s="192"/>
      <c r="B72" s="199"/>
    </row>
    <row r="73" spans="1:9" x14ac:dyDescent="0.2">
      <c r="A73" s="189" t="s">
        <v>1704</v>
      </c>
      <c r="B73" s="169" t="s">
        <v>1833</v>
      </c>
    </row>
    <row r="74" spans="1:9" x14ac:dyDescent="0.2">
      <c r="A74" s="189"/>
      <c r="B74" s="169" t="s">
        <v>1832</v>
      </c>
    </row>
    <row r="75" spans="1:9" ht="8.25" customHeight="1" x14ac:dyDescent="0.2">
      <c r="A75" s="189"/>
      <c r="B75" s="189"/>
    </row>
    <row r="76" spans="1:9" ht="12.2" customHeight="1" x14ac:dyDescent="0.2">
      <c r="A76" s="189" t="s">
        <v>1705</v>
      </c>
      <c r="B76" s="198" t="s">
        <v>1834</v>
      </c>
    </row>
    <row r="77" spans="1:9" ht="12.2" customHeight="1" x14ac:dyDescent="0.2">
      <c r="A77" s="190"/>
      <c r="B77" s="169" t="s">
        <v>1706</v>
      </c>
      <c r="C77" s="179"/>
      <c r="D77" s="180"/>
      <c r="E77" s="181"/>
      <c r="F77" s="181"/>
      <c r="G77" s="181"/>
      <c r="H77" s="181"/>
      <c r="I77" s="181"/>
    </row>
    <row r="78" spans="1:9" ht="11.25" customHeight="1" x14ac:dyDescent="0.2">
      <c r="A78" s="190"/>
      <c r="B78" s="190" t="s">
        <v>1836</v>
      </c>
      <c r="C78" s="179"/>
      <c r="D78" s="182"/>
      <c r="E78" s="182"/>
      <c r="F78" s="182"/>
      <c r="G78" s="182"/>
      <c r="H78" s="182"/>
      <c r="I78" s="181"/>
    </row>
    <row r="79" spans="1:9" ht="12.2" customHeight="1" x14ac:dyDescent="0.2">
      <c r="A79" s="190"/>
      <c r="B79" s="169" t="s">
        <v>1707</v>
      </c>
      <c r="C79" s="179"/>
      <c r="D79" s="182"/>
      <c r="E79" s="182"/>
      <c r="F79" s="182"/>
      <c r="G79" s="182"/>
      <c r="H79" s="182"/>
      <c r="I79" s="181"/>
    </row>
    <row r="80" spans="1:9" ht="11.25" customHeight="1" x14ac:dyDescent="0.2">
      <c r="A80" s="189"/>
      <c r="B80" s="190" t="s">
        <v>1835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1475</v>
      </c>
      <c r="D6" s="24"/>
    </row>
    <row r="7" spans="1:4" ht="13.5" customHeight="1" x14ac:dyDescent="0.2">
      <c r="A7" s="23"/>
      <c r="B7" s="25"/>
      <c r="C7" s="65" t="s">
        <v>1476</v>
      </c>
      <c r="D7" s="24"/>
    </row>
    <row r="8" spans="1:4" ht="13.5" customHeight="1" x14ac:dyDescent="0.2">
      <c r="A8" s="23"/>
      <c r="B8" s="146" t="s">
        <v>1000</v>
      </c>
      <c r="C8" s="65" t="s">
        <v>1461</v>
      </c>
      <c r="D8" s="24"/>
    </row>
    <row r="9" spans="1:4" ht="13.5" customHeight="1" x14ac:dyDescent="0.2">
      <c r="A9" s="14"/>
      <c r="B9" s="144" t="s">
        <v>1001</v>
      </c>
      <c r="C9" s="142" t="s">
        <v>1380</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1460</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1386</v>
      </c>
      <c r="C15" s="142" t="s">
        <v>1387</v>
      </c>
    </row>
    <row r="16" spans="1:4" ht="12.75" customHeight="1" x14ac:dyDescent="0.2">
      <c r="C16" s="142" t="s">
        <v>1388</v>
      </c>
    </row>
    <row r="17" spans="3:3" ht="12.75" customHeight="1" x14ac:dyDescent="0.2">
      <c r="C17" s="66" t="s">
        <v>1389</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1567</v>
      </c>
    </row>
    <row r="15" spans="1:6" x14ac:dyDescent="0.2">
      <c r="A15" s="389" t="s">
        <v>912</v>
      </c>
    </row>
    <row r="16" spans="1:6" s="1072" customFormat="1" ht="45" customHeight="1" x14ac:dyDescent="0.2">
      <c r="A16" s="1074"/>
      <c r="B16" s="1074" t="s">
        <v>1769</v>
      </c>
    </row>
    <row r="17" spans="1:2" ht="6" customHeight="1" x14ac:dyDescent="0.2"/>
    <row r="18" spans="1:2" ht="24.75" customHeight="1" x14ac:dyDescent="0.2">
      <c r="A18" s="2354" t="s">
        <v>1770</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1776</v>
      </c>
      <c r="B1" s="2356"/>
      <c r="C1" s="2356"/>
      <c r="D1" s="2356"/>
      <c r="E1" s="2356"/>
      <c r="F1" s="2357"/>
    </row>
    <row r="2" spans="1:8" ht="45" customHeight="1" x14ac:dyDescent="0.2">
      <c r="A2" s="2365" t="s">
        <v>1777</v>
      </c>
      <c r="B2" s="2366"/>
      <c r="C2" s="2366"/>
      <c r="D2" s="2366"/>
      <c r="E2" s="2366"/>
      <c r="F2" s="2367"/>
      <c r="G2" s="1075"/>
      <c r="H2" s="1075"/>
    </row>
    <row r="3" spans="1:8" ht="57" customHeight="1" x14ac:dyDescent="0.2">
      <c r="A3" s="2368" t="s">
        <v>1772</v>
      </c>
      <c r="B3" s="2369"/>
      <c r="C3" s="2369"/>
      <c r="D3" s="2369"/>
      <c r="E3" s="2369"/>
      <c r="F3" s="2370"/>
      <c r="G3" s="1075"/>
      <c r="H3" s="1075"/>
    </row>
    <row r="4" spans="1:8" ht="14.25" customHeight="1" x14ac:dyDescent="0.2">
      <c r="A4" s="2374" t="s">
        <v>2000</v>
      </c>
      <c r="B4" s="2375"/>
      <c r="C4" s="2375"/>
      <c r="D4" s="2375"/>
      <c r="E4" s="2375"/>
      <c r="F4" s="2376"/>
      <c r="G4" s="1075"/>
      <c r="H4" s="1075"/>
    </row>
    <row r="5" spans="1:8" ht="14.25" customHeight="1" x14ac:dyDescent="0.2">
      <c r="A5" s="2377" t="s">
        <v>2001</v>
      </c>
      <c r="B5" s="2378"/>
      <c r="C5" s="2378"/>
      <c r="D5" s="2378"/>
      <c r="E5" s="2378"/>
      <c r="F5" s="2379"/>
      <c r="G5" s="1075"/>
      <c r="H5" s="1075"/>
    </row>
    <row r="6" spans="1:8" s="1076" customFormat="1" ht="41.25" customHeight="1" x14ac:dyDescent="0.2">
      <c r="A6" s="2371" t="s">
        <v>1778</v>
      </c>
      <c r="B6" s="2372"/>
      <c r="C6" s="2372"/>
      <c r="D6" s="2372"/>
      <c r="E6" s="2372"/>
      <c r="F6" s="2373"/>
    </row>
    <row r="7" spans="1:8" ht="42" customHeight="1" x14ac:dyDescent="0.2">
      <c r="A7" s="1077" t="s">
        <v>502</v>
      </c>
      <c r="B7" s="1078" t="s">
        <v>1570</v>
      </c>
      <c r="C7" s="1078" t="s">
        <v>1571</v>
      </c>
      <c r="D7" s="1078" t="s">
        <v>1569</v>
      </c>
      <c r="E7" s="1078" t="s">
        <v>1572</v>
      </c>
      <c r="F7" s="1078" t="s">
        <v>1428</v>
      </c>
    </row>
    <row r="8" spans="1:8" s="1080" customFormat="1" ht="14.25" customHeight="1" x14ac:dyDescent="0.2">
      <c r="A8" s="1079" t="s">
        <v>1429</v>
      </c>
      <c r="B8" s="1838">
        <f>'Acct Summary 7-8'!C8</f>
        <v>3019856</v>
      </c>
      <c r="C8" s="1838">
        <f>'Acct Summary 7-8'!D8</f>
        <v>0</v>
      </c>
      <c r="D8" s="1838">
        <f>'Acct Summary 7-8'!F8</f>
        <v>0</v>
      </c>
      <c r="E8" s="1838">
        <f>'Acct Summary 7-8'!I8</f>
        <v>0</v>
      </c>
      <c r="F8" s="1838">
        <f>SUM(B8:E8)</f>
        <v>3019856</v>
      </c>
    </row>
    <row r="9" spans="1:8" s="1080" customFormat="1" ht="14.25" customHeight="1" thickBot="1" x14ac:dyDescent="0.25">
      <c r="A9" s="1079" t="s">
        <v>1430</v>
      </c>
      <c r="B9" s="1839">
        <f>'Acct Summary 7-8'!C17</f>
        <v>2863674</v>
      </c>
      <c r="C9" s="1839">
        <f>'Acct Summary 7-8'!D17</f>
        <v>0</v>
      </c>
      <c r="D9" s="1839">
        <f>'Acct Summary 7-8'!F17</f>
        <v>0</v>
      </c>
      <c r="E9" s="1838"/>
      <c r="F9" s="1838">
        <f>SUM(B9:E9)</f>
        <v>2863674</v>
      </c>
    </row>
    <row r="10" spans="1:8" s="1080" customFormat="1" ht="14.25" thickTop="1" thickBot="1" x14ac:dyDescent="0.25">
      <c r="A10" s="1081" t="s">
        <v>1431</v>
      </c>
      <c r="B10" s="1840">
        <f>(B8-B9)</f>
        <v>156182</v>
      </c>
      <c r="C10" s="1840">
        <f>(C8-C9)</f>
        <v>0</v>
      </c>
      <c r="D10" s="1840">
        <f>(D8-D9)</f>
        <v>0</v>
      </c>
      <c r="E10" s="1839">
        <f>(E8-E9)</f>
        <v>0</v>
      </c>
      <c r="F10" s="1841">
        <f>SUM(F8-F9)</f>
        <v>156182</v>
      </c>
    </row>
    <row r="11" spans="1:8" s="1080" customFormat="1" ht="14.25" thickTop="1" thickBot="1" x14ac:dyDescent="0.25">
      <c r="A11" s="1082" t="s">
        <v>1771</v>
      </c>
      <c r="B11" s="1842">
        <f>'Acct Summary 7-8'!C81</f>
        <v>197061</v>
      </c>
      <c r="C11" s="1842">
        <f>'Acct Summary 7-8'!D81</f>
        <v>0</v>
      </c>
      <c r="D11" s="1842">
        <f>'Acct Summary 7-8'!F81</f>
        <v>0</v>
      </c>
      <c r="E11" s="1842">
        <f>'Acct Summary 7-8'!I81</f>
        <v>0</v>
      </c>
      <c r="F11" s="1843">
        <f>SUM(B11:E11)</f>
        <v>197061</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1773</v>
      </c>
      <c r="B16" s="2358"/>
      <c r="C16" s="2358"/>
      <c r="D16" s="2358"/>
      <c r="E16" s="2358"/>
      <c r="F16" s="310" t="s">
        <v>1432</v>
      </c>
    </row>
    <row r="17" spans="1:6" hidden="1" x14ac:dyDescent="0.2">
      <c r="A17" s="316" t="s">
        <v>1774</v>
      </c>
      <c r="F17" s="1087" t="s">
        <v>1433</v>
      </c>
    </row>
    <row r="18" spans="1:6" hidden="1" x14ac:dyDescent="0.2">
      <c r="A18" s="316" t="s">
        <v>1775</v>
      </c>
      <c r="F18" s="316" t="s">
        <v>1471</v>
      </c>
    </row>
    <row r="19" spans="1:6" hidden="1" x14ac:dyDescent="0.2">
      <c r="A19" s="316" t="s">
        <v>1470</v>
      </c>
      <c r="F19" s="316" t="s">
        <v>1435</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1779</v>
      </c>
      <c r="B4" s="1154"/>
      <c r="C4" s="1155"/>
      <c r="D4" s="1156"/>
    </row>
    <row r="5" spans="1:4" ht="21" customHeight="1" x14ac:dyDescent="0.2">
      <c r="A5" s="1149"/>
      <c r="B5" s="1150">
        <v>1</v>
      </c>
      <c r="C5" s="1151" t="s">
        <v>1892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1578</v>
      </c>
      <c r="D7" s="2392"/>
    </row>
    <row r="8" spans="1:4" s="669" customFormat="1" ht="12.75" x14ac:dyDescent="0.2">
      <c r="A8" s="1139"/>
      <c r="B8" s="1094"/>
      <c r="C8" s="1097" t="s">
        <v>1577</v>
      </c>
      <c r="D8" s="1098"/>
    </row>
    <row r="9" spans="1:4" s="669" customFormat="1" ht="14.25" customHeight="1" x14ac:dyDescent="0.2">
      <c r="A9" s="1139"/>
      <c r="B9" s="1094">
        <f>B7+1</f>
        <v>4</v>
      </c>
      <c r="C9" s="1095" t="s">
        <v>1993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1579</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1780</v>
      </c>
      <c r="B17" s="1158"/>
      <c r="C17" s="1159"/>
      <c r="D17" s="1160"/>
    </row>
    <row r="18" spans="1:10" s="669" customFormat="1" ht="12.75" customHeight="1" x14ac:dyDescent="0.2">
      <c r="A18" s="1161" t="s">
        <v>1781</v>
      </c>
      <c r="B18" s="1162"/>
      <c r="C18" s="1163"/>
      <c r="D18" s="1164"/>
    </row>
    <row r="19" spans="1:10" ht="6.75" customHeight="1" thickBot="1" x14ac:dyDescent="0.25">
      <c r="A19" s="1165"/>
      <c r="B19" s="1166"/>
      <c r="C19" s="1167"/>
      <c r="D19" s="1168"/>
    </row>
    <row r="20" spans="1:10" s="1172" customFormat="1" ht="12.75" thickTop="1" x14ac:dyDescent="0.2">
      <c r="A20" s="1169"/>
      <c r="B20" s="1170" t="s">
        <v>1782</v>
      </c>
      <c r="C20" s="1171"/>
      <c r="D20" s="1174" t="s">
        <v>734</v>
      </c>
    </row>
    <row r="21" spans="1:10" x14ac:dyDescent="0.2">
      <c r="A21" s="1099"/>
      <c r="B21" s="1100">
        <v>1</v>
      </c>
      <c r="C21" s="2395" t="s">
        <v>332</v>
      </c>
      <c r="D21" s="2396"/>
    </row>
    <row r="22" spans="1:10" ht="12.75" x14ac:dyDescent="0.2">
      <c r="A22" s="1140"/>
      <c r="B22" s="1141">
        <v>2</v>
      </c>
      <c r="C22" s="2393" t="s">
        <v>1599</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1393</v>
      </c>
      <c r="D24" s="1143" t="str">
        <f>IF(COVER!O11="X","OK",IF(AND('Aud Quest 2'!J90=0,'Aud Quest 2'!I77&lt;DATE(2017,12,31)),"ENTER ACCOUNTING INFO",IF(AND('Aud Quest 2'!J90&gt;0,'Aud Quest 2'!I77&lt;DATE(2017,12,31)),"OK")))</f>
        <v>OK</v>
      </c>
    </row>
    <row r="25" spans="1:10" x14ac:dyDescent="0.2">
      <c r="A25" s="1101"/>
      <c r="B25" s="1102"/>
      <c r="C25" s="1103" t="s">
        <v>1601</v>
      </c>
      <c r="D25" s="1104" t="str">
        <f>IF(AND(COVER!J29="X",COVER!J30="X",COVER!L30&lt;&gt;"X"),"OK",IF(AND(COVER!J29="X",COVER!J30&lt;&gt;"X",COVER!L30="X"),"OK",IF(AND(COVER!L29="X",COVER!J30&lt;&gt;"X"),"OK","PLEASE CHECK YES or NO.")))</f>
        <v>OK</v>
      </c>
    </row>
    <row r="26" spans="1:10" x14ac:dyDescent="0.2">
      <c r="A26" s="1101"/>
      <c r="B26" s="1144"/>
      <c r="C26" s="1105" t="s">
        <v>1600</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1434</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1396</v>
      </c>
      <c r="D44" s="1124" t="str">
        <f>IF(SUM('Assets-Liab 5-6'!C13)&lt;&gt;SUM('Assets-Liab 5-6'!C41),"ERROR!","OK")</f>
        <v>OK</v>
      </c>
    </row>
    <row r="45" spans="1:12" x14ac:dyDescent="0.2">
      <c r="A45" s="1120"/>
      <c r="B45" s="1122"/>
      <c r="C45" s="1123" t="s">
        <v>1397</v>
      </c>
      <c r="D45" s="1124" t="str">
        <f>IF(SUM('Assets-Liab 5-6'!D13)&lt;&gt;SUM('Assets-Liab 5-6'!D41),"ERROR!","OK")</f>
        <v>OK</v>
      </c>
    </row>
    <row r="46" spans="1:12" x14ac:dyDescent="0.2">
      <c r="A46" s="1120"/>
      <c r="B46" s="1122"/>
      <c r="C46" s="1123" t="s">
        <v>1398</v>
      </c>
      <c r="D46" s="1124" t="str">
        <f>IF(SUM('Assets-Liab 5-6'!E13)&lt;&gt;SUM('Assets-Liab 5-6'!E41),"ERROR!","OK")</f>
        <v>OK</v>
      </c>
    </row>
    <row r="47" spans="1:12" x14ac:dyDescent="0.2">
      <c r="A47" s="1120"/>
      <c r="B47" s="1122"/>
      <c r="C47" s="1123" t="s">
        <v>1399</v>
      </c>
      <c r="D47" s="1124" t="str">
        <f>IF(SUM('Assets-Liab 5-6'!F13)&lt;&gt;SUM('Assets-Liab 5-6'!F41),"ERROR!","OK")</f>
        <v>OK</v>
      </c>
    </row>
    <row r="48" spans="1:12" x14ac:dyDescent="0.2">
      <c r="A48" s="1120"/>
      <c r="B48" s="1122"/>
      <c r="C48" s="1123" t="s">
        <v>1400</v>
      </c>
      <c r="D48" s="1124" t="str">
        <f>IF(SUM('Assets-Liab 5-6'!G13)&lt;&gt;SUM('Assets-Liab 5-6'!G41),"ERROR!","OK")</f>
        <v>OK</v>
      </c>
    </row>
    <row r="49" spans="1:4" x14ac:dyDescent="0.2">
      <c r="A49" s="1120"/>
      <c r="B49" s="1122"/>
      <c r="C49" s="1123" t="s">
        <v>1401</v>
      </c>
      <c r="D49" s="1124" t="str">
        <f>IF(SUM('Assets-Liab 5-6'!H13)&lt;&gt;SUM('Assets-Liab 5-6'!H41),"ERROR!","OK")</f>
        <v>OK</v>
      </c>
    </row>
    <row r="50" spans="1:4" x14ac:dyDescent="0.2">
      <c r="A50" s="1120"/>
      <c r="B50" s="1122"/>
      <c r="C50" s="1123" t="s">
        <v>1402</v>
      </c>
      <c r="D50" s="1124" t="str">
        <f>IF(SUM('Assets-Liab 5-6'!I13)&lt;&gt;SUM('Assets-Liab 5-6'!I41),"ERROR!","OK")</f>
        <v>OK</v>
      </c>
    </row>
    <row r="51" spans="1:4" x14ac:dyDescent="0.2">
      <c r="A51" s="1120"/>
      <c r="B51" s="1122"/>
      <c r="C51" s="1123" t="s">
        <v>1403</v>
      </c>
      <c r="D51" s="1124" t="str">
        <f>IF(SUM('Assets-Liab 5-6'!J13)&lt;&gt;SUM('Assets-Liab 5-6'!J41),"ERROR!","OK")</f>
        <v>OK</v>
      </c>
    </row>
    <row r="52" spans="1:4" x14ac:dyDescent="0.2">
      <c r="A52" s="1120"/>
      <c r="B52" s="1122"/>
      <c r="C52" s="1123" t="s">
        <v>1404</v>
      </c>
      <c r="D52" s="1124" t="str">
        <f>IF(SUM('Assets-Liab 5-6'!K13)&lt;&gt;SUM('Assets-Liab 5-6'!K41),"ERROR!","OK")</f>
        <v>OK</v>
      </c>
    </row>
    <row r="53" spans="1:4" x14ac:dyDescent="0.2">
      <c r="A53" s="1120"/>
      <c r="B53" s="1122"/>
      <c r="C53" s="1123" t="s">
        <v>1405</v>
      </c>
      <c r="D53" s="1124" t="str">
        <f>IF(SUM('Assets-Liab 5-6'!L13)&lt;&gt;('Assets-Liab 5-6'!L41),"ERROR!","OK")</f>
        <v>OK</v>
      </c>
    </row>
    <row r="54" spans="1:4" x14ac:dyDescent="0.2">
      <c r="A54" s="1120"/>
      <c r="B54" s="1122"/>
      <c r="C54" s="1123" t="s">
        <v>1406</v>
      </c>
      <c r="D54" s="1124" t="str">
        <f>IF(SUM('Assets-Liab 5-6'!M23)&lt;&gt;('Assets-Liab 5-6'!M41),"ERROR!","OK")</f>
        <v>OK</v>
      </c>
    </row>
    <row r="55" spans="1:4" x14ac:dyDescent="0.2">
      <c r="A55" s="1120"/>
      <c r="B55" s="1122"/>
      <c r="C55" s="1123" t="s">
        <v>1407</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1408</v>
      </c>
      <c r="D57" s="1125" t="str">
        <f>IF('Assets-Liab 5-6'!C38+'Assets-Liab 5-6'!C39='Acct Summary 7-8'!C81,"OK","ERROR!")</f>
        <v>OK</v>
      </c>
    </row>
    <row r="58" spans="1:4" x14ac:dyDescent="0.2">
      <c r="A58" s="1101"/>
      <c r="B58" s="1111"/>
      <c r="C58" s="1119" t="s">
        <v>1409</v>
      </c>
      <c r="D58" s="1125" t="str">
        <f>IF((('Assets-Liab 5-6'!D38+'Assets-Liab 5-6'!D39) ='Acct Summary 7-8'!D81), "OK", "ERROR!" )</f>
        <v>OK</v>
      </c>
    </row>
    <row r="59" spans="1:4" s="1117" customFormat="1" x14ac:dyDescent="0.2">
      <c r="A59" s="1101"/>
      <c r="B59" s="1111"/>
      <c r="C59" s="1119" t="s">
        <v>1410</v>
      </c>
      <c r="D59" s="1125" t="str">
        <f>IF((('Assets-Liab 5-6'!E38 + 'Assets-Liab 5-6'!E39) ='Acct Summary 7-8'!E81), "OK", "ERROR!" )</f>
        <v>OK</v>
      </c>
    </row>
    <row r="60" spans="1:4" x14ac:dyDescent="0.2">
      <c r="A60" s="1101"/>
      <c r="B60" s="1111"/>
      <c r="C60" s="1119" t="s">
        <v>1411</v>
      </c>
      <c r="D60" s="1125" t="str">
        <f>IF((('Assets-Liab 5-6'!F38 + 'Assets-Liab 5-6'!F39) ='Acct Summary 7-8'!F81), "OK", "ERROR!" )</f>
        <v>OK</v>
      </c>
    </row>
    <row r="61" spans="1:4" ht="12.75" customHeight="1" x14ac:dyDescent="0.2">
      <c r="A61" s="1101"/>
      <c r="B61" s="1111"/>
      <c r="C61" s="1119" t="s">
        <v>1424</v>
      </c>
      <c r="D61" s="1125" t="str">
        <f>IF((('Assets-Liab 5-6'!G38 + 'Assets-Liab 5-6'!G39) ='Acct Summary 7-8'!G81), "OK", "ERROR!" )</f>
        <v>OK</v>
      </c>
    </row>
    <row r="62" spans="1:4" x14ac:dyDescent="0.2">
      <c r="A62" s="1101"/>
      <c r="B62" s="1111"/>
      <c r="C62" s="1119" t="s">
        <v>1412</v>
      </c>
      <c r="D62" s="1125" t="str">
        <f>IF((('Assets-Liab 5-6'!H38 + 'Assets-Liab 5-6'!H39) ='Acct Summary 7-8'!H81), "OK", "ERROR!" )</f>
        <v>OK</v>
      </c>
    </row>
    <row r="63" spans="1:4" ht="12.75" customHeight="1" x14ac:dyDescent="0.2">
      <c r="A63" s="1101"/>
      <c r="B63" s="1111"/>
      <c r="C63" s="1119" t="s">
        <v>1413</v>
      </c>
      <c r="D63" s="1125" t="str">
        <f>IF((('Assets-Liab 5-6'!I38 + 'Assets-Liab 5-6'!I39) ='Acct Summary 7-8'!I81), "OK", "ERROR!" )</f>
        <v>OK</v>
      </c>
    </row>
    <row r="64" spans="1:4" x14ac:dyDescent="0.2">
      <c r="A64" s="1101"/>
      <c r="B64" s="1111"/>
      <c r="C64" s="1119" t="s">
        <v>1414</v>
      </c>
      <c r="D64" s="1125" t="str">
        <f>IF((('Assets-Liab 5-6'!J38 + 'Assets-Liab 5-6'!J39) ='Acct Summary 7-8'!J81), "OK", "ERROR!" )</f>
        <v>OK</v>
      </c>
    </row>
    <row r="65" spans="1:4" x14ac:dyDescent="0.2">
      <c r="A65" s="1118"/>
      <c r="B65" s="1111"/>
      <c r="C65" s="1119" t="s">
        <v>1425</v>
      </c>
      <c r="D65" s="1125" t="str">
        <f>IF((('Assets-Liab 5-6'!K38 + 'Assets-Liab 5-6'!K39) ='Acct Summary 7-8'!K81), "OK", "ERROR!" )</f>
        <v>OK</v>
      </c>
    </row>
    <row r="66" spans="1:4" x14ac:dyDescent="0.2">
      <c r="A66" s="1099"/>
      <c r="B66" s="1141">
        <f>B56+1+1</f>
        <v>8</v>
      </c>
      <c r="C66" s="1147" t="s">
        <v>1994</v>
      </c>
      <c r="D66" s="1126"/>
    </row>
    <row r="67" spans="1:4" x14ac:dyDescent="0.2">
      <c r="A67" s="1120"/>
      <c r="B67" s="1141"/>
      <c r="C67" s="1148" t="s">
        <v>1079</v>
      </c>
      <c r="D67" s="1126"/>
    </row>
    <row r="68" spans="1:4" x14ac:dyDescent="0.2">
      <c r="A68" s="1101"/>
      <c r="B68" s="1111"/>
      <c r="C68" s="1103" t="s">
        <v>1995</v>
      </c>
      <c r="D68" s="1125" t="str">
        <f>IF('Short-Term Long-Term Debt 24'!F49=SUM(,'Acct Summary 7-8'!C33:K33),"OK","ERROR!")</f>
        <v>OK</v>
      </c>
    </row>
    <row r="69" spans="1:4" x14ac:dyDescent="0.2">
      <c r="A69" s="1101"/>
      <c r="B69" s="1111"/>
      <c r="C69" s="1103" t="s">
        <v>1996</v>
      </c>
      <c r="D69" s="1125" t="str">
        <f>IF('Expenditures 15-22'!H170&lt;&gt;'Short-Term Long-Term Debt 24'!H49,"ERROR!","OK")</f>
        <v>OK</v>
      </c>
    </row>
    <row r="70" spans="1:4" x14ac:dyDescent="0.2">
      <c r="A70" s="1099"/>
      <c r="B70" s="1121">
        <f>B66+1</f>
        <v>9</v>
      </c>
      <c r="C70" s="2389" t="s">
        <v>1783</v>
      </c>
      <c r="D70" s="2390"/>
    </row>
    <row r="71" spans="1:4" x14ac:dyDescent="0.2">
      <c r="A71" s="1099"/>
      <c r="B71" s="1121"/>
      <c r="C71" s="1103" t="s">
        <v>1415</v>
      </c>
      <c r="D71" s="1127" t="str">
        <f>IF(SUM('Acct Summary 7-8'!C27:K27) =SUM( 'Acct Summary 7-8'!C49:K49),"OK", "ERROR")</f>
        <v>OK</v>
      </c>
    </row>
    <row r="72" spans="1:4" x14ac:dyDescent="0.2">
      <c r="A72" s="1101"/>
      <c r="B72" s="1111"/>
      <c r="C72" s="1119" t="s">
        <v>1416</v>
      </c>
      <c r="D72" s="1125" t="str">
        <f>IF(SUM('Acct Summary 7-8'!C28:K28)=SUM('Acct Summary 7-8'!C50:K50),"OK","ERROR!")</f>
        <v>OK</v>
      </c>
    </row>
    <row r="73" spans="1:4" ht="24" x14ac:dyDescent="0.2">
      <c r="A73" s="1128"/>
      <c r="B73" s="1111"/>
      <c r="C73" s="1119" t="s">
        <v>1784</v>
      </c>
      <c r="D73" s="1127" t="str">
        <f>IF(SUM('Acct Summary 7-8'!C42:K42)&gt;=SUM( 'Acct Summary 7-8'!C74:K74),"OK", "ERROR")</f>
        <v>OK</v>
      </c>
    </row>
    <row r="74" spans="1:4" x14ac:dyDescent="0.2">
      <c r="A74" s="1099"/>
      <c r="B74" s="1121">
        <f>B70+1</f>
        <v>10</v>
      </c>
      <c r="C74" s="1115" t="s">
        <v>1997</v>
      </c>
      <c r="D74" s="1129"/>
    </row>
    <row r="75" spans="1:4" x14ac:dyDescent="0.2">
      <c r="A75" s="1101"/>
      <c r="B75" s="1111"/>
      <c r="C75" s="1119" t="s">
        <v>1438</v>
      </c>
      <c r="D75" s="1125" t="str">
        <f>IF(SUM('Assets-Liab 5-6'!C38:H38)&gt;=SUM('Rest Tax Levies-Tort Im 25'!G25:K25),"OK","ERROR")</f>
        <v>OK</v>
      </c>
    </row>
    <row r="76" spans="1:4" x14ac:dyDescent="0.2">
      <c r="A76" s="1101"/>
      <c r="B76" s="1111"/>
      <c r="C76" s="1119" t="s">
        <v>1484</v>
      </c>
      <c r="D76" s="1125" t="str">
        <f>IF(SUM('Assets-Liab 5-6'!C39:K39)&gt;0,"OK","ENTRY IS REQUIRED!")</f>
        <v>OK</v>
      </c>
    </row>
    <row r="77" spans="1:4" x14ac:dyDescent="0.2">
      <c r="A77" s="1101"/>
      <c r="B77" s="1130">
        <f>B74+1</f>
        <v>11</v>
      </c>
      <c r="C77" s="1175" t="s">
        <v>1439</v>
      </c>
      <c r="D77" s="1125"/>
    </row>
    <row r="78" spans="1:4" x14ac:dyDescent="0.2">
      <c r="A78" s="1101"/>
      <c r="B78" s="1111"/>
      <c r="C78" s="1119" t="s">
        <v>1998</v>
      </c>
      <c r="D78" s="1125" t="str">
        <f>IF(ISNUMBER('Acct Summary 7-8'!C9),"OK","ENTRY IS REQUIRED!")</f>
        <v>OK</v>
      </c>
    </row>
    <row r="79" spans="1:4" x14ac:dyDescent="0.2">
      <c r="A79" s="1120"/>
      <c r="B79" s="1121">
        <f>B74+1+1</f>
        <v>12</v>
      </c>
      <c r="C79" s="1131" t="s">
        <v>1963</v>
      </c>
      <c r="D79" s="1132" t="str">
        <f>IF(OR(COVER!$B$6="X",'PCTC-OEPP 27-28'!F78&gt;0),"OK","PLEASE ENTER 9 MO ADA.")</f>
        <v>OK</v>
      </c>
    </row>
    <row r="80" spans="1:4" x14ac:dyDescent="0.2">
      <c r="A80" s="1099"/>
      <c r="B80" s="1121">
        <v>13</v>
      </c>
      <c r="C80" s="1131" t="s">
        <v>1999</v>
      </c>
      <c r="D80" s="1132" t="str">
        <f>IF('Contracts Paid in CY 29'!D141&gt;0,"OK","PLEASE ENTER CONTRACTS PAID IN CURRENT YEAR.")</f>
        <v>OK</v>
      </c>
    </row>
    <row r="81" spans="1:4" x14ac:dyDescent="0.2">
      <c r="A81" s="1099"/>
      <c r="B81" s="1121">
        <v>14</v>
      </c>
      <c r="C81" s="1131" t="s">
        <v>1490</v>
      </c>
      <c r="D81" s="1124" t="str">
        <f>IF('Shared Outsourced Services 31'!B8="X","OK",IF('Shared Outsourced Services 31'!K34&gt;0,"OK","ENTRY REQUIRED!"))</f>
        <v>OK</v>
      </c>
    </row>
    <row r="82" spans="1:4" x14ac:dyDescent="0.2">
      <c r="A82" s="1120"/>
      <c r="B82" s="1121">
        <v>15</v>
      </c>
      <c r="C82" s="1131" t="s">
        <v>1489</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35059005061</v>
      </c>
    </row>
    <row r="3" spans="1:2" x14ac:dyDescent="0.2">
      <c r="A3" t="s">
        <v>1013</v>
      </c>
      <c r="B3" s="138" t="str">
        <f>COVER!A15</f>
        <v>BUREAU</v>
      </c>
    </row>
    <row r="4" spans="1:2" x14ac:dyDescent="0.2">
      <c r="A4" t="s">
        <v>1064</v>
      </c>
      <c r="B4" s="138" t="str">
        <f>COVER!A17</f>
        <v>BMP Tri County Special Ed Coop</v>
      </c>
    </row>
    <row r="5" spans="1:2" x14ac:dyDescent="0.2">
      <c r="A5" t="s">
        <v>728</v>
      </c>
      <c r="B5" s="138" t="str">
        <f>COVER!A38</f>
        <v>GWEN GARVER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1618</v>
      </c>
      <c r="B12" s="138" t="str">
        <f>IF(COVER!J29="x","Yes",IF(COVER!L29="X","No",0))</f>
        <v>Yes</v>
      </c>
    </row>
    <row r="13" spans="1:2" x14ac:dyDescent="0.2">
      <c r="A13" s="1" t="s">
        <v>1619</v>
      </c>
      <c r="B13" s="138" t="str">
        <f>IF(COVER!J30="x","Yes",IF(COVER!L30="x","No",0))</f>
        <v>Yes</v>
      </c>
    </row>
    <row r="14" spans="1:2" x14ac:dyDescent="0.2">
      <c r="A14" t="s">
        <v>497</v>
      </c>
      <c r="B14" s="138" t="str">
        <f>IF(COVER!J31="x","Yes",IF(COVER!L31="x","No",0))</f>
        <v>No</v>
      </c>
    </row>
    <row r="15" spans="1:2" x14ac:dyDescent="0.2">
      <c r="A15" t="s">
        <v>598</v>
      </c>
      <c r="B15" s="138">
        <f>COVER!T23</f>
        <v>66.004501000000005</v>
      </c>
    </row>
    <row r="16" spans="1:2" x14ac:dyDescent="0.2">
      <c r="A16" t="s">
        <v>442</v>
      </c>
      <c r="B16" s="138" t="str">
        <f>COVER!T13</f>
        <v>HOPKINS &amp; ASSOCIATES, CPAS</v>
      </c>
    </row>
    <row r="17" spans="1:2" x14ac:dyDescent="0.2">
      <c r="A17" t="s">
        <v>939</v>
      </c>
      <c r="B17" s="138" t="str">
        <f>COVER!T15</f>
        <v>JOEL HOPKINS</v>
      </c>
    </row>
    <row r="18" spans="1:2" x14ac:dyDescent="0.2">
      <c r="A18" t="s">
        <v>1212</v>
      </c>
      <c r="B18" s="138" t="str">
        <f>COVER!T17</f>
        <v>314 S. MCCOY ST.</v>
      </c>
    </row>
    <row r="19" spans="1:2" x14ac:dyDescent="0.2">
      <c r="A19" t="s">
        <v>941</v>
      </c>
      <c r="B19" s="138" t="str">
        <f>COVER!T25</f>
        <v>joel@hopkinsoffice.com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1554</v>
      </c>
      <c r="B49" s="138" t="str">
        <f>IF('Aud Quest 2'!B53="x","Yes",IF('Aud Quest 2'!B53&lt;&gt;"x","0"))</f>
        <v>0</v>
      </c>
    </row>
    <row r="50" spans="1:4" x14ac:dyDescent="0.2">
      <c r="A50" s="1" t="s">
        <v>1553</v>
      </c>
      <c r="B50" s="150">
        <f>'Aud Quest 2'!H53</f>
        <v>0</v>
      </c>
    </row>
    <row r="51" spans="1:4" x14ac:dyDescent="0.2">
      <c r="A51" s="1" t="s">
        <v>1555</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197061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197061</v>
      </c>
      <c r="D92" s="2" t="str">
        <f t="shared" si="0"/>
        <v>Error?</v>
      </c>
    </row>
    <row r="93" spans="1:4" x14ac:dyDescent="0.2">
      <c r="A93" s="5">
        <v>32</v>
      </c>
      <c r="B93" s="138">
        <f>'Assets-Liab 5-6'!C41</f>
        <v>197061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19827</v>
      </c>
      <c r="D275" s="2" t="str">
        <f t="shared" si="3"/>
        <v>Error?</v>
      </c>
    </row>
    <row r="276" spans="1:4" x14ac:dyDescent="0.2">
      <c r="A276" s="5">
        <v>215</v>
      </c>
      <c r="B276" s="138">
        <f>'Assets-Liab 5-6'!M19</f>
        <v>203749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223576</v>
      </c>
      <c r="C279" s="2" t="s">
        <v>594</v>
      </c>
      <c r="D279" s="2" t="str">
        <f t="shared" si="3"/>
        <v>Error?</v>
      </c>
    </row>
    <row r="280" spans="1:4" x14ac:dyDescent="0.2">
      <c r="A280" s="5">
        <v>219</v>
      </c>
      <c r="B280" s="138">
        <f>'Assets-Liab 5-6'!M40</f>
        <v>223576</v>
      </c>
      <c r="D280" s="2" t="str">
        <f t="shared" si="3"/>
        <v>Error?</v>
      </c>
    </row>
    <row r="281" spans="1:4" x14ac:dyDescent="0.2">
      <c r="A281" s="5">
        <v>220</v>
      </c>
      <c r="B281" s="138">
        <f>'Assets-Liab 5-6'!M41</f>
        <v>223576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17517</v>
      </c>
      <c r="C720" s="2" t="s">
        <v>594</v>
      </c>
      <c r="D720" s="2" t="str">
        <f t="shared" si="10"/>
        <v>Error?</v>
      </c>
    </row>
    <row r="721" spans="1:4" x14ac:dyDescent="0.2">
      <c r="A721" s="5">
        <v>660</v>
      </c>
      <c r="B721" s="138">
        <f>'Expenditures 15-22'!C36</f>
        <v>545753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426157</v>
      </c>
      <c r="D723" s="2" t="str">
        <f t="shared" si="10"/>
        <v>Error?</v>
      </c>
    </row>
    <row r="724" spans="1:4" x14ac:dyDescent="0.2">
      <c r="A724" s="5">
        <v>663</v>
      </c>
      <c r="B724" s="138">
        <f>'Expenditures 15-22'!C39</f>
        <v>457257</v>
      </c>
      <c r="D724" s="2" t="str">
        <f t="shared" si="10"/>
        <v>Error?</v>
      </c>
    </row>
    <row r="725" spans="1:4" x14ac:dyDescent="0.2">
      <c r="A725" s="5">
        <v>664</v>
      </c>
      <c r="B725" s="138">
        <f>'Expenditures 15-22'!C40</f>
        <v>14150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1443317</v>
      </c>
      <c r="C727" s="2" t="s">
        <v>594</v>
      </c>
      <c r="D727" s="2" t="str">
        <f t="shared" si="10"/>
        <v>Error?</v>
      </c>
    </row>
    <row r="728" spans="1:4" x14ac:dyDescent="0.2">
      <c r="A728" s="5">
        <v>667</v>
      </c>
      <c r="B728" s="138">
        <f>'Expenditures 15-22'!C44</f>
        <v>87219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87219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110738</v>
      </c>
      <c r="D733" s="2" t="str">
        <f t="shared" si="10"/>
        <v>Error?</v>
      </c>
    </row>
    <row r="734" spans="1:4" x14ac:dyDescent="0.2">
      <c r="A734" s="5">
        <v>673</v>
      </c>
      <c r="B734" s="138">
        <f>'Expenditures 15-22'!C53</f>
        <v>495513</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29931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29931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2055980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2073497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2284</v>
      </c>
      <c r="C778" s="2" t="s">
        <v>594</v>
      </c>
      <c r="D778" s="2" t="str">
        <f t="shared" si="11"/>
        <v>Error?</v>
      </c>
    </row>
    <row r="779" spans="1:4" x14ac:dyDescent="0.2">
      <c r="A779" s="5">
        <v>718</v>
      </c>
      <c r="B779" s="138">
        <f>'Expenditures 15-22'!D36</f>
        <v>97126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107391</v>
      </c>
      <c r="D781" s="2" t="str">
        <f t="shared" si="11"/>
        <v>Error?</v>
      </c>
    </row>
    <row r="782" spans="1:4" x14ac:dyDescent="0.2">
      <c r="A782" s="5">
        <v>721</v>
      </c>
      <c r="B782" s="138">
        <f>'Expenditures 15-22'!D39</f>
        <v>82513</v>
      </c>
      <c r="D782" s="2" t="str">
        <f t="shared" si="11"/>
        <v>Error?</v>
      </c>
    </row>
    <row r="783" spans="1:4" x14ac:dyDescent="0.2">
      <c r="A783" s="5">
        <v>722</v>
      </c>
      <c r="B783" s="138">
        <f>'Expenditures 15-22'!D40</f>
        <v>2686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289716</v>
      </c>
      <c r="C785" s="2" t="s">
        <v>594</v>
      </c>
      <c r="D785" s="2" t="str">
        <f t="shared" si="11"/>
        <v>Error?</v>
      </c>
    </row>
    <row r="786" spans="1:4" x14ac:dyDescent="0.2">
      <c r="A786" s="5">
        <v>725</v>
      </c>
      <c r="B786" s="138">
        <f>'Expenditures 15-22'!D44</f>
        <v>23072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23072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37334</v>
      </c>
      <c r="D791" s="2" t="str">
        <f t="shared" si="11"/>
        <v>Error?</v>
      </c>
    </row>
    <row r="792" spans="1:4" x14ac:dyDescent="0.2">
      <c r="A792" s="5">
        <v>731</v>
      </c>
      <c r="B792" s="138">
        <f>'Expenditures 15-22'!D53</f>
        <v>107398</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7237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427423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429707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22745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21028</v>
      </c>
      <c r="D839" s="2" t="str">
        <f t="shared" si="12"/>
        <v>Error?</v>
      </c>
    </row>
    <row r="840" spans="1:4" x14ac:dyDescent="0.2">
      <c r="A840" s="5">
        <v>779</v>
      </c>
      <c r="B840" s="138">
        <f>'Expenditures 15-22'!E39</f>
        <v>25083</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68856</v>
      </c>
      <c r="C843" s="2" t="s">
        <v>594</v>
      </c>
      <c r="D843" s="2" t="str">
        <f t="shared" si="12"/>
        <v>Error?</v>
      </c>
    </row>
    <row r="844" spans="1:4" x14ac:dyDescent="0.2">
      <c r="A844" s="5">
        <v>783</v>
      </c>
      <c r="B844" s="138">
        <f>'Expenditures 15-22'!E44</f>
        <v>62233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62233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33033</v>
      </c>
      <c r="D849" s="2" t="str">
        <f t="shared" si="12"/>
        <v>Error?</v>
      </c>
    </row>
    <row r="850" spans="1:4" x14ac:dyDescent="0.2">
      <c r="A850" s="5">
        <v>789</v>
      </c>
      <c r="B850" s="138">
        <f>'Expenditures 15-22'!E53</f>
        <v>77290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6635</v>
      </c>
      <c r="D855" s="2" t="str">
        <f t="shared" si="12"/>
        <v>Error?</v>
      </c>
    </row>
    <row r="856" spans="1:4" x14ac:dyDescent="0.2">
      <c r="A856" s="5">
        <v>795</v>
      </c>
      <c r="B856" s="138">
        <f>'Expenditures 15-22'!E61</f>
        <v>44993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4844</v>
      </c>
      <c r="D859" s="2" t="str">
        <f t="shared" si="12"/>
        <v>Error?</v>
      </c>
    </row>
    <row r="860" spans="1:4" x14ac:dyDescent="0.2">
      <c r="A860" s="10">
        <v>799</v>
      </c>
      <c r="D860" s="2" t="str">
        <f t="shared" si="12"/>
        <v>OK</v>
      </c>
    </row>
    <row r="861" spans="1:4" x14ac:dyDescent="0.2">
      <c r="A861" s="5">
        <v>800</v>
      </c>
      <c r="B861" s="138">
        <f>'Expenditures 15-22'!E65</f>
        <v>56472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264851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264851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1500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3000</v>
      </c>
      <c r="D897" s="2" t="str">
        <f t="shared" si="13"/>
        <v>Error?</v>
      </c>
    </row>
    <row r="898" spans="1:4" x14ac:dyDescent="0.2">
      <c r="A898" s="5">
        <v>837</v>
      </c>
      <c r="B898" s="138">
        <f>'Expenditures 15-22'!F39</f>
        <v>5000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9500</v>
      </c>
      <c r="C901" s="2" t="s">
        <v>594</v>
      </c>
      <c r="D901" s="2" t="str">
        <f t="shared" si="13"/>
        <v>Error?</v>
      </c>
    </row>
    <row r="902" spans="1:4" x14ac:dyDescent="0.2">
      <c r="A902" s="5">
        <v>841</v>
      </c>
      <c r="B902" s="138">
        <f>'Expenditures 15-22'!F44</f>
        <v>188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9000</v>
      </c>
      <c r="D907" s="2" t="str">
        <f t="shared" si="13"/>
        <v>Error?</v>
      </c>
    </row>
    <row r="908" spans="1:4" x14ac:dyDescent="0.2">
      <c r="A908" s="5">
        <v>847</v>
      </c>
      <c r="B908" s="138">
        <f>'Expenditures 15-22'!F53</f>
        <v>9000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2920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2920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21608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21608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5000</v>
      </c>
      <c r="D965" s="2" t="str">
        <f t="shared" si="14"/>
        <v>Error?</v>
      </c>
    </row>
    <row r="966" spans="1:4" x14ac:dyDescent="0.2">
      <c r="A966" s="5">
        <v>905</v>
      </c>
      <c r="B966" s="138">
        <f>'Expenditures 15-22'!G53</f>
        <v>5000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5000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46161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46161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9264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9264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55425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13586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69011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19801</v>
      </c>
      <c r="C1108" s="2" t="s">
        <v>594</v>
      </c>
      <c r="D1108" s="2" t="str">
        <f t="shared" si="16"/>
        <v>Error?</v>
      </c>
    </row>
    <row r="1109" spans="1:4" x14ac:dyDescent="0.2">
      <c r="A1109" s="5">
        <v>1048</v>
      </c>
      <c r="B1109" s="138">
        <f>'Expenditures 15-22'!K36</f>
        <v>667124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557576</v>
      </c>
      <c r="C1111" s="2" t="s">
        <v>594</v>
      </c>
      <c r="D1111" s="2" t="str">
        <f t="shared" si="16"/>
        <v>Error?</v>
      </c>
    </row>
    <row r="1112" spans="1:4" x14ac:dyDescent="0.2">
      <c r="A1112" s="5">
        <v>1051</v>
      </c>
      <c r="B1112" s="138">
        <f>'Expenditures 15-22'!K39</f>
        <v>569853</v>
      </c>
      <c r="C1112" s="2" t="s">
        <v>594</v>
      </c>
      <c r="D1112" s="2" t="str">
        <f t="shared" si="16"/>
        <v>Error?</v>
      </c>
    </row>
    <row r="1113" spans="1:4" x14ac:dyDescent="0.2">
      <c r="A1113" s="5">
        <v>1052</v>
      </c>
      <c r="B1113" s="138">
        <f>'Expenditures 15-22'!K40</f>
        <v>16836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1811389</v>
      </c>
      <c r="C1115" s="2" t="s">
        <v>594</v>
      </c>
      <c r="D1115" s="2" t="str">
        <f t="shared" si="16"/>
        <v>Error?</v>
      </c>
    </row>
    <row r="1116" spans="1:4" x14ac:dyDescent="0.2">
      <c r="A1116" s="5">
        <v>1055</v>
      </c>
      <c r="B1116" s="138">
        <f>'Expenditures 15-22'!K44</f>
        <v>172712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172712</v>
      </c>
      <c r="C1119" s="2" t="s">
        <v>594</v>
      </c>
      <c r="D1119" s="2" t="str">
        <f t="shared" si="16"/>
        <v>Error?</v>
      </c>
    </row>
    <row r="1120" spans="1:4" x14ac:dyDescent="0.2">
      <c r="A1120" s="5">
        <v>1059</v>
      </c>
      <c r="B1120" s="138">
        <f>'Expenditures 15-22'!K49</f>
        <v>46161</v>
      </c>
      <c r="C1120" s="2" t="s">
        <v>594</v>
      </c>
      <c r="D1120" s="2" t="str">
        <f t="shared" si="16"/>
        <v>Error?</v>
      </c>
    </row>
    <row r="1121" spans="1:4" x14ac:dyDescent="0.2">
      <c r="A1121" s="5">
        <v>1060</v>
      </c>
      <c r="B1121" s="138">
        <f>'Expenditures 15-22'!K50</f>
        <v>195105</v>
      </c>
      <c r="C1121" s="2" t="s">
        <v>594</v>
      </c>
      <c r="D1121" s="2" t="str">
        <f t="shared" si="16"/>
        <v>Error?</v>
      </c>
    </row>
    <row r="1122" spans="1:4" x14ac:dyDescent="0.2">
      <c r="A1122" s="5">
        <v>1061</v>
      </c>
      <c r="B1122" s="138">
        <f>'Expenditures 15-22'!K53</f>
        <v>740362</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9264</v>
      </c>
      <c r="C1126" s="2" t="s">
        <v>594</v>
      </c>
      <c r="D1126" s="2" t="str">
        <f t="shared" si="16"/>
        <v>Error?</v>
      </c>
    </row>
    <row r="1127" spans="1:4" x14ac:dyDescent="0.2">
      <c r="A1127" s="5">
        <v>1066</v>
      </c>
      <c r="B1127" s="138">
        <f>'Expenditures 15-22'!K60</f>
        <v>46723</v>
      </c>
      <c r="C1127" s="2" t="s">
        <v>594</v>
      </c>
      <c r="D1127" s="2" t="str">
        <f t="shared" si="16"/>
        <v>Error?</v>
      </c>
    </row>
    <row r="1128" spans="1:4" x14ac:dyDescent="0.2">
      <c r="A1128" s="5">
        <v>1067</v>
      </c>
      <c r="B1128" s="138">
        <f>'Expenditures 15-22'!K61</f>
        <v>44993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4844</v>
      </c>
      <c r="C1131" s="2" t="s">
        <v>594</v>
      </c>
      <c r="D1131" s="2" t="str">
        <f t="shared" si="16"/>
        <v>Error?</v>
      </c>
    </row>
    <row r="1132" spans="1:4" x14ac:dyDescent="0.2">
      <c r="A1132" s="10">
        <v>1071</v>
      </c>
      <c r="D1132" s="2" t="str">
        <f t="shared" si="16"/>
        <v>OK</v>
      </c>
    </row>
    <row r="1133" spans="1:4" x14ac:dyDescent="0.2">
      <c r="A1133" s="5">
        <v>1072</v>
      </c>
      <c r="B1133" s="138">
        <f>'Expenditures 15-22'!K65</f>
        <v>105824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2830287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13586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2863674</v>
      </c>
      <c r="C1152" s="2" t="s">
        <v>594</v>
      </c>
      <c r="D1152" s="2" t="str">
        <f t="shared" si="17"/>
        <v>Error?</v>
      </c>
    </row>
    <row r="1153" spans="1:4" x14ac:dyDescent="0.2">
      <c r="A1153" s="5">
        <v>1092</v>
      </c>
      <c r="B1153" s="138">
        <f>'Expenditures 15-22'!K115</f>
        <v>156182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40879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197061</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19827</v>
      </c>
      <c r="D2010" s="2" t="str">
        <f t="shared" si="30"/>
        <v>Error?</v>
      </c>
    </row>
    <row r="2011" spans="1:4" x14ac:dyDescent="0.2">
      <c r="A2011" s="5">
        <v>1950</v>
      </c>
      <c r="B2011" s="138">
        <f>'Cap Outlay Deprec 26'!C12</f>
        <v>113041</v>
      </c>
      <c r="D2011" s="2" t="str">
        <f t="shared" si="30"/>
        <v>Error?</v>
      </c>
    </row>
    <row r="2012" spans="1:4" x14ac:dyDescent="0.2">
      <c r="A2012" s="5">
        <v>1951</v>
      </c>
      <c r="B2012" s="138">
        <f>'Cap Outlay Deprec 26'!C13</f>
        <v>85708</v>
      </c>
      <c r="D2012" s="2" t="str">
        <f t="shared" si="30"/>
        <v>Error?</v>
      </c>
    </row>
    <row r="2013" spans="1:4" x14ac:dyDescent="0.2">
      <c r="A2013" s="5">
        <v>1952</v>
      </c>
      <c r="B2013" s="138">
        <f>'Cap Outlay Deprec 26'!C16</f>
        <v>218576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5000</v>
      </c>
      <c r="D2018" s="2" t="str">
        <f t="shared" si="30"/>
        <v>Error?</v>
      </c>
    </row>
    <row r="2019" spans="1:4" x14ac:dyDescent="0.2">
      <c r="A2019" s="5">
        <v>1958</v>
      </c>
      <c r="B2019" s="138">
        <f>'Cap Outlay Deprec 26'!D16</f>
        <v>5000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19827</v>
      </c>
      <c r="C2028" s="2" t="s">
        <v>594</v>
      </c>
      <c r="D2028" s="2" t="str">
        <f t="shared" si="30"/>
        <v>Error?</v>
      </c>
    </row>
    <row r="2029" spans="1:4" x14ac:dyDescent="0.2">
      <c r="A2029" s="5">
        <v>1968</v>
      </c>
      <c r="B2029" s="138">
        <f>'Cap Outlay Deprec 26'!F12</f>
        <v>113041</v>
      </c>
      <c r="C2029" s="2" t="s">
        <v>594</v>
      </c>
      <c r="D2029" s="2" t="str">
        <f t="shared" si="30"/>
        <v>Error?</v>
      </c>
    </row>
    <row r="2030" spans="1:4" x14ac:dyDescent="0.2">
      <c r="A2030" s="5">
        <v>1969</v>
      </c>
      <c r="B2030" s="138">
        <f>'Cap Outlay Deprec 26'!F13</f>
        <v>90708</v>
      </c>
      <c r="C2030" s="2" t="s">
        <v>594</v>
      </c>
      <c r="D2030" s="2" t="str">
        <f t="shared" si="30"/>
        <v>Error?</v>
      </c>
    </row>
    <row r="2031" spans="1:4" x14ac:dyDescent="0.2">
      <c r="A2031" s="5">
        <v>1970</v>
      </c>
      <c r="B2031" s="138">
        <f>'Cap Outlay Deprec 26'!F16</f>
        <v>223576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5288</v>
      </c>
      <c r="D2034" s="2" t="str">
        <f t="shared" si="30"/>
        <v>Error?</v>
      </c>
    </row>
    <row r="2035" spans="1:4" x14ac:dyDescent="0.2">
      <c r="A2035" s="5">
        <v>1974</v>
      </c>
      <c r="B2035" s="138">
        <f>'Cap Outlay Deprec 26'!H12</f>
        <v>110710</v>
      </c>
      <c r="D2035" s="2" t="str">
        <f t="shared" si="30"/>
        <v>Error?</v>
      </c>
    </row>
    <row r="2036" spans="1:4" x14ac:dyDescent="0.2">
      <c r="A2036" s="5">
        <v>1975</v>
      </c>
      <c r="B2036" s="138">
        <f>'Cap Outlay Deprec 26'!H13</f>
        <v>69330</v>
      </c>
      <c r="D2036" s="2" t="str">
        <f t="shared" si="30"/>
        <v>Error?</v>
      </c>
    </row>
    <row r="2037" spans="1:4" x14ac:dyDescent="0.2">
      <c r="A2037" s="5">
        <v>1976</v>
      </c>
      <c r="B2037" s="138">
        <f>'Cap Outlay Deprec 26'!H16</f>
        <v>185328</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1321</v>
      </c>
      <c r="D2040" s="2" t="str">
        <f t="shared" si="30"/>
        <v>Error?</v>
      </c>
    </row>
    <row r="2041" spans="1:4" x14ac:dyDescent="0.2">
      <c r="A2041" s="5">
        <v>1980</v>
      </c>
      <c r="B2041" s="138">
        <f>'Cap Outlay Deprec 26'!I12</f>
        <v>561</v>
      </c>
      <c r="D2041" s="2" t="str">
        <f t="shared" si="30"/>
        <v>Error?</v>
      </c>
    </row>
    <row r="2042" spans="1:4" x14ac:dyDescent="0.2">
      <c r="A2042" s="5">
        <v>1981</v>
      </c>
      <c r="B2042" s="138">
        <f>'Cap Outlay Deprec 26'!I13</f>
        <v>9608</v>
      </c>
      <c r="D2042" s="2" t="str">
        <f t="shared" si="30"/>
        <v>Error?</v>
      </c>
    </row>
    <row r="2043" spans="1:4" x14ac:dyDescent="0.2">
      <c r="A2043" s="5">
        <v>1982</v>
      </c>
      <c r="B2043" s="138">
        <f>'Cap Outlay Deprec 26'!I16</f>
        <v>11490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6609</v>
      </c>
      <c r="C2052" s="2" t="s">
        <v>594</v>
      </c>
      <c r="D2052" s="2" t="str">
        <f t="shared" si="31"/>
        <v>Error?</v>
      </c>
    </row>
    <row r="2053" spans="1:4" x14ac:dyDescent="0.2">
      <c r="A2053" s="5">
        <v>1992</v>
      </c>
      <c r="B2053" s="138">
        <f>'Cap Outlay Deprec 26'!K12</f>
        <v>111271</v>
      </c>
      <c r="C2053" s="2" t="s">
        <v>594</v>
      </c>
      <c r="D2053" s="2" t="str">
        <f t="shared" si="31"/>
        <v>Error?</v>
      </c>
    </row>
    <row r="2054" spans="1:4" x14ac:dyDescent="0.2">
      <c r="A2054" s="5">
        <v>1993</v>
      </c>
      <c r="B2054" s="138">
        <f>'Cap Outlay Deprec 26'!K13</f>
        <v>78938</v>
      </c>
      <c r="C2054" s="2" t="s">
        <v>594</v>
      </c>
      <c r="D2054" s="2" t="str">
        <f t="shared" si="31"/>
        <v>Error?</v>
      </c>
    </row>
    <row r="2055" spans="1:4" x14ac:dyDescent="0.2">
      <c r="A2055" s="5">
        <v>1994</v>
      </c>
      <c r="B2055" s="138">
        <f>'Cap Outlay Deprec 26'!K16</f>
        <v>196818</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13218</v>
      </c>
      <c r="C2058" s="2" t="s">
        <v>594</v>
      </c>
      <c r="D2058" s="2" t="str">
        <f t="shared" si="31"/>
        <v>Error?</v>
      </c>
    </row>
    <row r="2059" spans="1:4" x14ac:dyDescent="0.2">
      <c r="A2059" s="5">
        <v>1998</v>
      </c>
      <c r="B2059" s="138">
        <f>'Cap Outlay Deprec 26'!L12</f>
        <v>1770</v>
      </c>
      <c r="C2059" s="2" t="s">
        <v>594</v>
      </c>
      <c r="D2059" s="2" t="str">
        <f t="shared" si="31"/>
        <v>Error?</v>
      </c>
    </row>
    <row r="2060" spans="1:4" x14ac:dyDescent="0.2">
      <c r="A2060" s="5">
        <v>1999</v>
      </c>
      <c r="B2060" s="138">
        <f>'Cap Outlay Deprec 26'!L13</f>
        <v>11770</v>
      </c>
      <c r="C2060" s="2" t="s">
        <v>594</v>
      </c>
      <c r="D2060" s="2" t="str">
        <f t="shared" si="31"/>
        <v>Error?</v>
      </c>
    </row>
    <row r="2061" spans="1:4" x14ac:dyDescent="0.2">
      <c r="A2061" s="5">
        <v>2000</v>
      </c>
      <c r="B2061" s="138">
        <f>'Cap Outlay Deprec 26'!L16</f>
        <v>26758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13586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13586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825248</v>
      </c>
      <c r="C2551" s="2" t="s">
        <v>594</v>
      </c>
      <c r="D2551" s="2" t="str">
        <f t="shared" si="38"/>
        <v>Error?</v>
      </c>
    </row>
    <row r="2552" spans="1:4" x14ac:dyDescent="0.2">
      <c r="A2552" s="10">
        <v>2491</v>
      </c>
      <c r="D2552" s="2" t="str">
        <f t="shared" si="38"/>
        <v>OK</v>
      </c>
    </row>
    <row r="2553" spans="1:4" x14ac:dyDescent="0.2">
      <c r="A2553" s="5">
        <v>2492</v>
      </c>
      <c r="B2553" s="138">
        <f>'Acct Summary 7-8'!C6</f>
        <v>390555</v>
      </c>
      <c r="C2553" s="2" t="s">
        <v>594</v>
      </c>
      <c r="D2553" s="2" t="str">
        <f t="shared" si="38"/>
        <v>Error?</v>
      </c>
    </row>
    <row r="2554" spans="1:4" x14ac:dyDescent="0.2">
      <c r="A2554" s="5">
        <v>2493</v>
      </c>
      <c r="B2554" s="138">
        <f>'Acct Summary 7-8'!C7</f>
        <v>1804053</v>
      </c>
      <c r="C2554" s="2" t="s">
        <v>594</v>
      </c>
      <c r="D2554" s="2" t="str">
        <f t="shared" si="38"/>
        <v>Error?</v>
      </c>
    </row>
    <row r="2555" spans="1:4" x14ac:dyDescent="0.2">
      <c r="A2555" s="5">
        <v>2494</v>
      </c>
      <c r="B2555" s="138">
        <f>'Acct Summary 7-8'!C8</f>
        <v>3019856</v>
      </c>
      <c r="C2555" s="2" t="s">
        <v>594</v>
      </c>
      <c r="D2555" s="2" t="str">
        <f t="shared" si="38"/>
        <v>Error?</v>
      </c>
    </row>
    <row r="2556" spans="1:4" x14ac:dyDescent="0.2">
      <c r="A2556" s="5">
        <v>2495</v>
      </c>
      <c r="B2556" s="138">
        <f>'Acct Summary 7-8'!C12</f>
        <v>19801</v>
      </c>
      <c r="C2556" s="2" t="s">
        <v>594</v>
      </c>
      <c r="D2556" s="2" t="str">
        <f t="shared" si="38"/>
        <v>Error?</v>
      </c>
    </row>
    <row r="2557" spans="1:4" x14ac:dyDescent="0.2">
      <c r="A2557" s="5">
        <v>2496</v>
      </c>
      <c r="B2557" s="138">
        <f>'Acct Summary 7-8'!C13</f>
        <v>2830287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13586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2863674</v>
      </c>
      <c r="C2561" s="2" t="s">
        <v>594</v>
      </c>
      <c r="D2561" s="2" t="str">
        <f t="shared" si="39"/>
        <v>Error?</v>
      </c>
    </row>
    <row r="2562" spans="1:4" x14ac:dyDescent="0.2">
      <c r="A2562" s="5">
        <v>2501</v>
      </c>
      <c r="B2562" s="138">
        <f>'Acct Summary 7-8'!C20</f>
        <v>156182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384775</v>
      </c>
      <c r="D2718" s="2" t="str">
        <f t="shared" si="41"/>
        <v>Error?</v>
      </c>
    </row>
    <row r="2719" spans="1:4" x14ac:dyDescent="0.2">
      <c r="A2719" s="5">
        <v>2658</v>
      </c>
      <c r="B2719" s="138">
        <f>'Expenditures 15-22'!D51</f>
        <v>70064</v>
      </c>
      <c r="D2719" s="2" t="str">
        <f t="shared" si="41"/>
        <v>Error?</v>
      </c>
    </row>
    <row r="2720" spans="1:4" x14ac:dyDescent="0.2">
      <c r="A2720" s="5">
        <v>2659</v>
      </c>
      <c r="B2720" s="138">
        <f>'Expenditures 15-22'!E51</f>
        <v>21915</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476754</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9392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4194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9392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4194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156182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17517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19801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197061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-1004206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2015650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-1004206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1859468</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197061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89273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146997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807424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834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15948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1042</v>
      </c>
      <c r="D5119" s="2" t="str">
        <f t="shared" ref="D5119:D5182" si="79">IF(ISBLANK(B5119),"OK",IF(A5119-B5119=0,"OK","Error?"))</f>
        <v>Error?</v>
      </c>
    </row>
    <row r="5120" spans="1:4" x14ac:dyDescent="0.2">
      <c r="A5120" s="5">
        <v>5059</v>
      </c>
      <c r="B5120" s="138">
        <f>'Revenues 9-14'!C108</f>
        <v>824414</v>
      </c>
      <c r="C5120" s="2" t="s">
        <v>594</v>
      </c>
      <c r="D5120" s="2" t="str">
        <f t="shared" si="79"/>
        <v>Error?</v>
      </c>
    </row>
    <row r="5121" spans="1:4" x14ac:dyDescent="0.2">
      <c r="A5121" s="5">
        <v>5060</v>
      </c>
      <c r="B5121" s="138">
        <f>'Revenues 9-14'!C109</f>
        <v>825248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260370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260370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130185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130185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130185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390555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65624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1502159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1567783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1804053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1804053</v>
      </c>
      <c r="C5326" s="2" t="s">
        <v>594</v>
      </c>
      <c r="D5326" s="2" t="str">
        <f t="shared" si="82"/>
        <v>Error?</v>
      </c>
    </row>
    <row r="5327" spans="1:4" x14ac:dyDescent="0.2">
      <c r="A5327" s="5">
        <v>5266</v>
      </c>
      <c r="B5327" s="138">
        <f>'Revenues 9-14'!C275</f>
        <v>3019856</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156182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0.79255661952390377</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22342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22342</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1395</v>
      </c>
    </row>
    <row r="7627" spans="1:5" x14ac:dyDescent="0.2">
      <c r="A7627">
        <f t="shared" si="123"/>
        <v>7566</v>
      </c>
      <c r="D7627" s="2" t="str">
        <f t="shared" si="124"/>
        <v>OK</v>
      </c>
      <c r="E7627" s="4" t="s">
        <v>1395</v>
      </c>
    </row>
    <row r="7628" spans="1:5" x14ac:dyDescent="0.2">
      <c r="A7628">
        <f t="shared" si="123"/>
        <v>7567</v>
      </c>
      <c r="D7628" s="2" t="str">
        <f t="shared" si="124"/>
        <v>OK</v>
      </c>
      <c r="E7628" s="2" t="s">
        <v>19</v>
      </c>
    </row>
    <row r="7629" spans="1:5" x14ac:dyDescent="0.2">
      <c r="A7629">
        <f t="shared" si="123"/>
        <v>7568</v>
      </c>
      <c r="D7629" s="2" t="str">
        <f t="shared" si="124"/>
        <v>OK</v>
      </c>
      <c r="E7629" s="4" t="s">
        <v>1395</v>
      </c>
    </row>
    <row r="7630" spans="1:5" x14ac:dyDescent="0.2">
      <c r="A7630">
        <f t="shared" ref="A7630:A7650" si="125">A7629+1</f>
        <v>7569</v>
      </c>
      <c r="D7630" s="2" t="str">
        <f t="shared" si="124"/>
        <v>OK</v>
      </c>
      <c r="E7630" s="4" t="s">
        <v>1395</v>
      </c>
    </row>
    <row r="7631" spans="1:5" x14ac:dyDescent="0.2">
      <c r="A7631">
        <f t="shared" si="125"/>
        <v>7570</v>
      </c>
      <c r="B7631" s="138">
        <f>'Cap Outlay Deprec 26'!I18</f>
        <v>11490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1395</v>
      </c>
    </row>
    <row r="7634" spans="1:6" x14ac:dyDescent="0.2">
      <c r="A7634">
        <f t="shared" si="125"/>
        <v>7573</v>
      </c>
      <c r="D7634" s="2" t="str">
        <f t="shared" si="124"/>
        <v>OK</v>
      </c>
      <c r="E7634" s="4" t="s">
        <v>1395</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1395</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1394</v>
      </c>
    </row>
    <row r="7749" spans="1:6" x14ac:dyDescent="0.2">
      <c r="A7749">
        <v>7688</v>
      </c>
      <c r="B7749" s="138">
        <f>'Acct Summary 7-8'!D25</f>
        <v>0</v>
      </c>
      <c r="D7749" s="2" t="str">
        <f t="shared" si="127"/>
        <v>Error?</v>
      </c>
      <c r="E7749" s="4" t="s">
        <v>1394</v>
      </c>
    </row>
    <row r="7750" spans="1:6" x14ac:dyDescent="0.2">
      <c r="A7750">
        <v>7689</v>
      </c>
      <c r="B7750" s="138">
        <f>'Acct Summary 7-8'!E25</f>
        <v>0</v>
      </c>
      <c r="D7750" s="2" t="str">
        <f t="shared" si="127"/>
        <v>Error?</v>
      </c>
      <c r="E7750" s="4" t="s">
        <v>1394</v>
      </c>
    </row>
    <row r="7751" spans="1:6" x14ac:dyDescent="0.2">
      <c r="A7751">
        <v>7690</v>
      </c>
      <c r="B7751" s="138">
        <f>'Acct Summary 7-8'!F25</f>
        <v>0</v>
      </c>
      <c r="D7751" s="2" t="str">
        <f t="shared" si="127"/>
        <v>Error?</v>
      </c>
      <c r="E7751" s="4" t="s">
        <v>1394</v>
      </c>
    </row>
    <row r="7752" spans="1:6" x14ac:dyDescent="0.2">
      <c r="A7752">
        <v>7691</v>
      </c>
      <c r="B7752" s="138">
        <f>'Acct Summary 7-8'!G25</f>
        <v>0</v>
      </c>
      <c r="D7752" s="2" t="str">
        <f t="shared" si="127"/>
        <v>Error?</v>
      </c>
      <c r="E7752" s="4" t="s">
        <v>1394</v>
      </c>
    </row>
    <row r="7753" spans="1:6" x14ac:dyDescent="0.2">
      <c r="A7753">
        <v>7692</v>
      </c>
      <c r="B7753" s="138">
        <f>'Acct Summary 7-8'!H25</f>
        <v>0</v>
      </c>
      <c r="D7753" s="2" t="str">
        <f t="shared" si="127"/>
        <v>Error?</v>
      </c>
      <c r="E7753" s="4" t="s">
        <v>1394</v>
      </c>
    </row>
    <row r="7754" spans="1:6" x14ac:dyDescent="0.2">
      <c r="A7754">
        <v>7693</v>
      </c>
      <c r="B7754" s="138">
        <f>'Acct Summary 7-8'!J25</f>
        <v>0</v>
      </c>
      <c r="D7754" s="2" t="str">
        <f t="shared" si="127"/>
        <v>Error?</v>
      </c>
      <c r="E7754" s="4" t="s">
        <v>1394</v>
      </c>
    </row>
    <row r="7755" spans="1:6" x14ac:dyDescent="0.2">
      <c r="A7755">
        <v>7694</v>
      </c>
      <c r="B7755" s="138">
        <f>'Acct Summary 7-8'!K25</f>
        <v>0</v>
      </c>
      <c r="D7755" s="2" t="str">
        <f t="shared" si="127"/>
        <v>Error?</v>
      </c>
      <c r="E7755" s="4" t="s">
        <v>1394</v>
      </c>
    </row>
    <row r="7756" spans="1:6" x14ac:dyDescent="0.2">
      <c r="A7756">
        <v>7695</v>
      </c>
      <c r="B7756" s="138">
        <f>'Aud Quest 2'!E85</f>
        <v>0</v>
      </c>
      <c r="D7756" s="2" t="str">
        <f t="shared" si="127"/>
        <v>Error?</v>
      </c>
      <c r="E7756" s="4" t="s">
        <v>1394</v>
      </c>
      <c r="F7756" t="s">
        <v>1514</v>
      </c>
    </row>
    <row r="7757" spans="1:6" x14ac:dyDescent="0.2">
      <c r="A7757">
        <v>7696</v>
      </c>
      <c r="B7757" s="138">
        <f>'Aud Quest 2'!E87</f>
        <v>0</v>
      </c>
      <c r="D7757" s="2" t="str">
        <f t="shared" si="127"/>
        <v>Error?</v>
      </c>
      <c r="E7757" s="4" t="s">
        <v>1394</v>
      </c>
      <c r="F7757" t="s">
        <v>1514</v>
      </c>
    </row>
    <row r="7758" spans="1:6" x14ac:dyDescent="0.2">
      <c r="A7758">
        <v>7697</v>
      </c>
      <c r="B7758" s="138">
        <f>'Aud Quest 2'!J85</f>
        <v>0</v>
      </c>
      <c r="D7758" s="2" t="str">
        <f t="shared" si="127"/>
        <v>Error?</v>
      </c>
      <c r="E7758" s="4" t="s">
        <v>1394</v>
      </c>
    </row>
    <row r="7759" spans="1:6" x14ac:dyDescent="0.2">
      <c r="A7759">
        <v>7698</v>
      </c>
      <c r="B7759" s="138">
        <f>'Aud Quest 2'!J88</f>
        <v>0</v>
      </c>
      <c r="D7759" s="2" t="str">
        <f t="shared" si="127"/>
        <v>Error?</v>
      </c>
      <c r="E7759" s="4" t="s">
        <v>1394</v>
      </c>
    </row>
    <row r="7760" spans="1:6" x14ac:dyDescent="0.2">
      <c r="A7760">
        <v>7699</v>
      </c>
      <c r="B7760" s="138">
        <f>'Aud Quest 2'!J90</f>
        <v>0</v>
      </c>
      <c r="D7760" s="2" t="str">
        <f t="shared" si="127"/>
        <v>Error?</v>
      </c>
      <c r="E7760" s="4" t="s">
        <v>1394</v>
      </c>
    </row>
    <row r="7761" spans="1:5" x14ac:dyDescent="0.2">
      <c r="A7761">
        <v>7700</v>
      </c>
      <c r="B7761" s="138">
        <f>'Revenues 9-14'!C260</f>
        <v>0</v>
      </c>
      <c r="D7761" s="2" t="str">
        <f t="shared" si="127"/>
        <v>Error?</v>
      </c>
      <c r="E7761" s="4" t="s">
        <v>1488</v>
      </c>
    </row>
    <row r="7762" spans="1:5" x14ac:dyDescent="0.2">
      <c r="A7762">
        <v>7701</v>
      </c>
      <c r="B7762" s="138">
        <f>'Expenditures 15-22'!E6</f>
        <v>0</v>
      </c>
      <c r="D7762" s="2" t="str">
        <f t="shared" si="127"/>
        <v>Error?</v>
      </c>
      <c r="E7762" s="4" t="s">
        <v>1501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1529</v>
      </c>
    </row>
    <row r="7765" spans="1:5" x14ac:dyDescent="0.2">
      <c r="A7765">
        <v>7704</v>
      </c>
      <c r="B7765" s="138">
        <f>'Revenues 9-14'!C261</f>
        <v>0</v>
      </c>
      <c r="D7765" s="2" t="str">
        <f t="shared" si="127"/>
        <v>Error?</v>
      </c>
      <c r="E7765" s="4" t="s">
        <v>1533</v>
      </c>
    </row>
    <row r="7766" spans="1:5" x14ac:dyDescent="0.2">
      <c r="A7766">
        <v>7705</v>
      </c>
      <c r="B7766" s="138">
        <f>'Revenues 9-14'!D261</f>
        <v>0</v>
      </c>
      <c r="D7766" s="2" t="str">
        <f t="shared" si="127"/>
        <v>Error?</v>
      </c>
      <c r="E7766" s="4" t="s">
        <v>1533</v>
      </c>
    </row>
    <row r="7767" spans="1:5" x14ac:dyDescent="0.2">
      <c r="A7767" s="129">
        <v>7706</v>
      </c>
      <c r="E7767" s="4"/>
    </row>
    <row r="7768" spans="1:5" x14ac:dyDescent="0.2">
      <c r="A7768">
        <v>7707</v>
      </c>
      <c r="B7768" s="138">
        <f>'Revenues 9-14'!F261</f>
        <v>0</v>
      </c>
      <c r="D7768" s="2" t="str">
        <f t="shared" si="127"/>
        <v>Error?</v>
      </c>
      <c r="E7768" s="4" t="s">
        <v>1533</v>
      </c>
    </row>
    <row r="7769" spans="1:5" x14ac:dyDescent="0.2">
      <c r="A7769">
        <v>7708</v>
      </c>
      <c r="B7769" s="138">
        <f>'Revenues 9-14'!G261</f>
        <v>0</v>
      </c>
      <c r="D7769" s="2" t="str">
        <f t="shared" si="127"/>
        <v>Error?</v>
      </c>
      <c r="E7769" s="4" t="s">
        <v>1533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1534</v>
      </c>
    </row>
    <row r="7773" spans="1:5" x14ac:dyDescent="0.2">
      <c r="A7773">
        <v>7712</v>
      </c>
      <c r="B7773" s="138">
        <f>'Rest Tax Levies-Tort Im 25'!J22</f>
        <v>0</v>
      </c>
      <c r="D7773" s="2" t="str">
        <f t="shared" si="127"/>
        <v>Error?</v>
      </c>
      <c r="E7773" s="4" t="s">
        <v>1627</v>
      </c>
    </row>
    <row r="7774" spans="1:5" x14ac:dyDescent="0.2">
      <c r="A7774">
        <v>7713</v>
      </c>
      <c r="B7774" s="138">
        <f>'Expenditures 15-22'!E133</f>
        <v>0</v>
      </c>
      <c r="D7774" s="2" t="str">
        <f t="shared" si="127"/>
        <v>Error?</v>
      </c>
      <c r="E7774" s="4" t="s">
        <v>1911</v>
      </c>
    </row>
    <row r="7775" spans="1:5" x14ac:dyDescent="0.2">
      <c r="A7775">
        <v>7714</v>
      </c>
      <c r="B7775" s="138">
        <f>'Expenditures 15-22'!H133</f>
        <v>0</v>
      </c>
      <c r="D7775" s="2" t="str">
        <f t="shared" si="127"/>
        <v>Error?</v>
      </c>
      <c r="E7775" s="4" t="s">
        <v>1911</v>
      </c>
    </row>
    <row r="7776" spans="1:5" x14ac:dyDescent="0.2">
      <c r="A7776">
        <v>7715</v>
      </c>
      <c r="B7776" s="138">
        <f>'Expenditures 15-22'!K133</f>
        <v>0</v>
      </c>
      <c r="D7776" s="2" t="str">
        <f t="shared" si="127"/>
        <v>Error?</v>
      </c>
      <c r="E7776" s="4" t="s">
        <v>1911</v>
      </c>
    </row>
    <row r="7777" spans="1:5" x14ac:dyDescent="0.2">
      <c r="A7777">
        <v>7716</v>
      </c>
      <c r="B7777" s="138">
        <f>'Expenditures 15-22'!H157</f>
        <v>0</v>
      </c>
      <c r="D7777" s="2" t="str">
        <f t="shared" si="127"/>
        <v>Error?</v>
      </c>
      <c r="E7777" s="4" t="s">
        <v>1911</v>
      </c>
    </row>
    <row r="7778" spans="1:5" x14ac:dyDescent="0.2">
      <c r="A7778">
        <v>7717</v>
      </c>
      <c r="B7778" s="138">
        <f>'Expenditures 15-22'!K157</f>
        <v>0</v>
      </c>
      <c r="D7778" s="2" t="str">
        <f t="shared" si="127"/>
        <v>Error?</v>
      </c>
      <c r="E7778" s="4" t="s">
        <v>1911</v>
      </c>
    </row>
    <row r="7779" spans="1:5" x14ac:dyDescent="0.2">
      <c r="A7779">
        <v>7718</v>
      </c>
      <c r="B7779" s="138">
        <f>'Expenditures 15-22'!H158</f>
        <v>0</v>
      </c>
      <c r="D7779" s="2" t="str">
        <f t="shared" si="127"/>
        <v>Error?</v>
      </c>
      <c r="E7779" s="4" t="s">
        <v>1911</v>
      </c>
    </row>
    <row r="7780" spans="1:5" x14ac:dyDescent="0.2">
      <c r="A7780">
        <v>7719</v>
      </c>
      <c r="B7780" s="138">
        <f>'Expenditures 15-22'!K158</f>
        <v>0</v>
      </c>
      <c r="D7780" s="2" t="str">
        <f t="shared" si="127"/>
        <v>Error?</v>
      </c>
      <c r="E7780" s="4" t="s">
        <v>1911</v>
      </c>
    </row>
    <row r="7781" spans="1:5" x14ac:dyDescent="0.2">
      <c r="A7781">
        <v>7720</v>
      </c>
      <c r="B7781" s="138">
        <f>'Expenditures 15-22'!H159</f>
        <v>0</v>
      </c>
      <c r="D7781" s="2" t="str">
        <f t="shared" si="127"/>
        <v>Error?</v>
      </c>
      <c r="E7781" s="4" t="s">
        <v>1911</v>
      </c>
    </row>
    <row r="7782" spans="1:5" x14ac:dyDescent="0.2">
      <c r="A7782">
        <v>7721</v>
      </c>
      <c r="B7782" s="138">
        <f>'Expenditures 15-22'!K159</f>
        <v>0</v>
      </c>
      <c r="D7782" s="2" t="str">
        <f t="shared" si="127"/>
        <v>Error?</v>
      </c>
      <c r="E7782" s="4" t="s">
        <v>1911</v>
      </c>
    </row>
    <row r="7783" spans="1:5" x14ac:dyDescent="0.2">
      <c r="A7783">
        <v>7722</v>
      </c>
      <c r="B7783" s="138">
        <f>'Expenditures 15-22'!D282</f>
        <v>0</v>
      </c>
      <c r="D7783" s="2" t="str">
        <f t="shared" si="127"/>
        <v>Error?</v>
      </c>
      <c r="E7783" s="4" t="s">
        <v>1911</v>
      </c>
    </row>
    <row r="7784" spans="1:5" x14ac:dyDescent="0.2">
      <c r="A7784">
        <v>7723</v>
      </c>
      <c r="B7784" s="138">
        <f>'Expenditures 15-22'!K282</f>
        <v>0</v>
      </c>
      <c r="D7784" s="2" t="str">
        <f t="shared" si="127"/>
        <v>Error?</v>
      </c>
      <c r="E7784" s="4" t="s">
        <v>1911</v>
      </c>
    </row>
    <row r="7785" spans="1:5" x14ac:dyDescent="0.2">
      <c r="A7785">
        <v>7724</v>
      </c>
      <c r="B7785" s="138">
        <f>'Expenditures 15-22'!H332</f>
        <v>0</v>
      </c>
      <c r="D7785" s="2" t="str">
        <f t="shared" si="127"/>
        <v>Error?</v>
      </c>
      <c r="E7785" s="4" t="s">
        <v>1911</v>
      </c>
    </row>
    <row r="7786" spans="1:5" x14ac:dyDescent="0.2">
      <c r="A7786">
        <v>7725</v>
      </c>
      <c r="B7786" s="138">
        <f>'Expenditures 15-22'!K332</f>
        <v>0</v>
      </c>
      <c r="D7786" s="2" t="str">
        <f t="shared" si="127"/>
        <v>Error?</v>
      </c>
      <c r="E7786" s="4" t="s">
        <v>1911</v>
      </c>
    </row>
    <row r="7787" spans="1:5" x14ac:dyDescent="0.2">
      <c r="A7787">
        <v>7726</v>
      </c>
      <c r="B7787" s="138">
        <f>'Expenditures 15-22'!H333</f>
        <v>0</v>
      </c>
      <c r="D7787" s="2" t="str">
        <f t="shared" si="127"/>
        <v>Error?</v>
      </c>
      <c r="E7787" s="4" t="s">
        <v>1911</v>
      </c>
    </row>
    <row r="7788" spans="1:5" x14ac:dyDescent="0.2">
      <c r="A7788">
        <v>7727</v>
      </c>
      <c r="B7788" s="138">
        <f>'Expenditures 15-22'!K333</f>
        <v>0</v>
      </c>
      <c r="D7788" s="2" t="str">
        <f t="shared" si="127"/>
        <v>Error?</v>
      </c>
      <c r="E7788" s="4" t="s">
        <v>1911</v>
      </c>
    </row>
    <row r="7789" spans="1:5" x14ac:dyDescent="0.2">
      <c r="A7789">
        <v>7728</v>
      </c>
      <c r="B7789" s="138">
        <f>'Expenditures 15-22'!H334</f>
        <v>0</v>
      </c>
      <c r="D7789" s="2" t="str">
        <f t="shared" si="127"/>
        <v>Error?</v>
      </c>
      <c r="E7789" s="4" t="s">
        <v>1911</v>
      </c>
    </row>
    <row r="7790" spans="1:5" x14ac:dyDescent="0.2">
      <c r="A7790">
        <v>7729</v>
      </c>
      <c r="B7790" s="138">
        <f>'Expenditures 15-22'!K334</f>
        <v>0</v>
      </c>
      <c r="D7790" s="2" t="str">
        <f t="shared" si="127"/>
        <v>Error?</v>
      </c>
      <c r="E7790" s="4" t="s">
        <v>1911</v>
      </c>
    </row>
    <row r="7791" spans="1:5" x14ac:dyDescent="0.2">
      <c r="A7791">
        <v>7730</v>
      </c>
      <c r="B7791" s="138">
        <f>'Expenditures 15-22'!H354</f>
        <v>0</v>
      </c>
      <c r="D7791" s="2" t="str">
        <f t="shared" si="127"/>
        <v>Error?</v>
      </c>
      <c r="E7791" s="4" t="s">
        <v>1911</v>
      </c>
    </row>
    <row r="7792" spans="1:5" x14ac:dyDescent="0.2">
      <c r="A7792">
        <v>7731</v>
      </c>
      <c r="B7792" s="138">
        <f>'Expenditures 15-22'!K354</f>
        <v>0</v>
      </c>
      <c r="D7792" s="2" t="str">
        <f t="shared" si="127"/>
        <v>Error?</v>
      </c>
      <c r="E7792" s="4" t="s">
        <v>1911</v>
      </c>
    </row>
    <row r="7793" spans="1:5" x14ac:dyDescent="0.2">
      <c r="A7793">
        <v>7732</v>
      </c>
      <c r="B7793" s="138">
        <f>'Expenditures 15-22'!H355</f>
        <v>0</v>
      </c>
      <c r="D7793" s="2" t="str">
        <f t="shared" si="127"/>
        <v>Error?</v>
      </c>
      <c r="E7793" s="4" t="s">
        <v>1911</v>
      </c>
    </row>
    <row r="7794" spans="1:5" x14ac:dyDescent="0.2">
      <c r="A7794">
        <v>7733</v>
      </c>
      <c r="B7794" s="138">
        <f>'Expenditures 15-22'!K355</f>
        <v>0</v>
      </c>
      <c r="D7794" s="2" t="str">
        <f t="shared" si="127"/>
        <v>Error?</v>
      </c>
      <c r="E7794" s="4" t="s">
        <v>1911</v>
      </c>
    </row>
    <row r="7795" spans="1:5" x14ac:dyDescent="0.2">
      <c r="A7795">
        <v>7734</v>
      </c>
      <c r="B7795" s="138">
        <f>'Expenditures 15-22'!E138</f>
        <v>0</v>
      </c>
      <c r="D7795" s="2" t="str">
        <f t="shared" si="127"/>
        <v>Error?</v>
      </c>
      <c r="E7795" s="4" t="s">
        <v>1911</v>
      </c>
    </row>
    <row r="7796" spans="1:5" x14ac:dyDescent="0.2">
      <c r="A7796">
        <v>7735</v>
      </c>
      <c r="B7796" s="138">
        <f>'Acct Summary 7-8'!J15</f>
        <v>0</v>
      </c>
      <c r="D7796" s="2" t="str">
        <f t="shared" si="127"/>
        <v>Error?</v>
      </c>
      <c r="E7796" s="4" t="s">
        <v>1911</v>
      </c>
    </row>
    <row r="7797" spans="1:5" x14ac:dyDescent="0.2">
      <c r="A7797">
        <v>7736</v>
      </c>
      <c r="B7797" s="138">
        <f>'Contracts Paid in CY 29'!D141</f>
        <v>49838</v>
      </c>
      <c r="D7797" s="2" t="str">
        <f t="shared" si="127"/>
        <v>Error?</v>
      </c>
      <c r="E7797" s="4" t="s">
        <v>1964</v>
      </c>
    </row>
    <row r="7798" spans="1:5" x14ac:dyDescent="0.2">
      <c r="A7798">
        <v>7737</v>
      </c>
      <c r="B7798" s="138">
        <f>'Contracts Paid in CY 29'!F141</f>
        <v>30812</v>
      </c>
      <c r="D7798" s="2" t="str">
        <f t="shared" si="127"/>
        <v>Error?</v>
      </c>
      <c r="E7798" s="4" t="s">
        <v>1964</v>
      </c>
    </row>
    <row r="7799" spans="1:5" x14ac:dyDescent="0.2">
      <c r="A7799">
        <v>7738</v>
      </c>
      <c r="B7799" s="138">
        <f>'Contracts Paid in CY 29'!G141</f>
        <v>19026</v>
      </c>
      <c r="D7799" s="2" t="str">
        <f t="shared" si="127"/>
        <v>Error?</v>
      </c>
      <c r="E7799" s="4" t="s">
        <v>1964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B42" sqref="B4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1785</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BMP Tri County Special Ed Coop</v>
      </c>
      <c r="B7" s="2422"/>
      <c r="C7" s="2422"/>
      <c r="D7" s="2423"/>
      <c r="E7" s="2424">
        <f>COVER!A13</f>
        <v>35059005061</v>
      </c>
      <c r="F7" s="2425"/>
      <c r="G7" s="2431">
        <f>COVER!T23</f>
        <v>66.004501000000005</v>
      </c>
      <c r="H7" s="2432"/>
      <c r="I7" s="2432"/>
      <c r="J7" s="2432"/>
      <c r="K7" s="2432"/>
      <c r="L7" s="2433"/>
    </row>
    <row r="8" spans="1:29" ht="13.5" customHeight="1" x14ac:dyDescent="0.2">
      <c r="A8" s="1185" t="s">
        <v>1591</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HOPKINS &amp; ASSOCIATES, CPAS</v>
      </c>
      <c r="H9" s="2437"/>
      <c r="I9" s="2437"/>
      <c r="J9" s="2437"/>
      <c r="K9" s="2437"/>
      <c r="L9" s="2438"/>
    </row>
    <row r="10" spans="1:29" ht="13.5" customHeight="1" x14ac:dyDescent="0.2">
      <c r="A10" s="2411" t="str">
        <f>COVER!A38</f>
        <v>GWEN GARVER</v>
      </c>
      <c r="B10" s="2412"/>
      <c r="C10" s="2412"/>
      <c r="D10" s="2412"/>
      <c r="E10" s="2412"/>
      <c r="F10" s="2413"/>
      <c r="G10" s="2405" t="str">
        <f>COVER!T17</f>
        <v>314 S. MCCOY ST.</v>
      </c>
      <c r="H10" s="2406"/>
      <c r="I10" s="2406"/>
      <c r="J10" s="2406"/>
      <c r="K10" s="2406"/>
      <c r="L10" s="2407"/>
    </row>
    <row r="11" spans="1:29" ht="13.5" customHeight="1" x14ac:dyDescent="0.2">
      <c r="A11" s="1185" t="s">
        <v>1593</v>
      </c>
      <c r="B11" s="1186"/>
      <c r="C11" s="1187"/>
      <c r="D11" s="1192"/>
      <c r="E11" s="1187"/>
      <c r="F11" s="1191"/>
      <c r="G11" s="2405" t="str">
        <f>COVER!T19</f>
        <v>GRANVILLE</v>
      </c>
      <c r="H11" s="2406"/>
      <c r="I11" s="2406"/>
      <c r="J11" s="2406"/>
      <c r="K11" s="2406"/>
      <c r="L11" s="2407"/>
    </row>
    <row r="12" spans="1:29" ht="13.5" customHeight="1" x14ac:dyDescent="0.2">
      <c r="A12" s="2414" t="s">
        <v>1592</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1594</v>
      </c>
      <c r="H13" s="2401"/>
      <c r="I13" s="2417" t="str">
        <f>COVER!T25</f>
        <v>joel@hopkinsoffice.com</v>
      </c>
      <c r="J13" s="2418"/>
      <c r="K13" s="2418"/>
      <c r="L13" s="2419"/>
    </row>
    <row r="14" spans="1:29" ht="13.5" customHeight="1" x14ac:dyDescent="0.2">
      <c r="A14" s="2405" t="str">
        <f>COVER!A19</f>
        <v>400 GALENA ST., PO BOX 239</v>
      </c>
      <c r="B14" s="2406"/>
      <c r="C14" s="2406"/>
      <c r="D14" s="2406"/>
      <c r="E14" s="2406"/>
      <c r="F14" s="2407"/>
      <c r="G14" s="1196" t="s">
        <v>1247</v>
      </c>
      <c r="H14" s="1194"/>
      <c r="I14" s="1194"/>
      <c r="J14" s="1194"/>
      <c r="K14" s="1194"/>
      <c r="L14" s="1195"/>
    </row>
    <row r="15" spans="1:29" ht="13.5" customHeight="1" x14ac:dyDescent="0.2">
      <c r="A15" s="2405" t="str">
        <f>COVER!A21</f>
        <v>TISKILWA</v>
      </c>
      <c r="B15" s="2406"/>
      <c r="C15" s="2406"/>
      <c r="D15" s="2406"/>
      <c r="E15" s="2406"/>
      <c r="F15" s="2407"/>
      <c r="G15" s="2402" t="str">
        <f>COVER!T15</f>
        <v>JOEL HOPKINS</v>
      </c>
      <c r="H15" s="2403"/>
      <c r="I15" s="2403"/>
      <c r="J15" s="2403"/>
      <c r="K15" s="2403"/>
      <c r="L15" s="2404"/>
    </row>
    <row r="16" spans="1:29" ht="12.2" customHeight="1" x14ac:dyDescent="0.2">
      <c r="A16" s="2427">
        <f>COVER!A25</f>
        <v>61368</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815-339-6630</v>
      </c>
      <c r="H18" s="2422"/>
      <c r="I18" s="2422"/>
      <c r="J18" s="2422"/>
      <c r="K18" s="2421" t="str">
        <f>COVER!X21</f>
        <v>815-339-6643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1786</v>
      </c>
    </row>
    <row r="22" spans="1:13" ht="12.2" customHeight="1" x14ac:dyDescent="0.2">
      <c r="A22" s="1201"/>
    </row>
    <row r="23" spans="1:13" ht="12.2" customHeight="1" x14ac:dyDescent="0.2">
      <c r="A23" s="1201"/>
      <c r="B23" s="1202" t="s">
        <v>2021</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2021</v>
      </c>
      <c r="C26" s="1203" t="s">
        <v>1787</v>
      </c>
    </row>
    <row r="27" spans="1:13" s="1199" customFormat="1" ht="9" customHeight="1" x14ac:dyDescent="0.2">
      <c r="B27" s="1204"/>
      <c r="C27" s="1203"/>
    </row>
    <row r="28" spans="1:13" s="1199" customFormat="1" ht="12.2" customHeight="1" x14ac:dyDescent="0.2">
      <c r="A28" s="1206"/>
      <c r="B28" s="1202" t="s">
        <v>2021</v>
      </c>
      <c r="C28" s="1203" t="s">
        <v>1788</v>
      </c>
    </row>
    <row r="29" spans="1:13" s="1199" customFormat="1" ht="9" customHeight="1" x14ac:dyDescent="0.2">
      <c r="A29" s="1206"/>
      <c r="B29" s="1204"/>
      <c r="C29" s="1203"/>
    </row>
    <row r="30" spans="1:13" s="1199" customFormat="1" ht="12.2" customHeight="1" x14ac:dyDescent="0.2">
      <c r="B30" s="1202" t="s">
        <v>2021</v>
      </c>
      <c r="C30" s="1203" t="s">
        <v>1636</v>
      </c>
      <c r="D30" s="1197"/>
      <c r="E30" s="1197"/>
    </row>
    <row r="31" spans="1:13" s="1199" customFormat="1" ht="9" customHeight="1" x14ac:dyDescent="0.2">
      <c r="B31" s="1204"/>
      <c r="C31" s="1203"/>
      <c r="D31" s="1197"/>
      <c r="E31" s="1197"/>
    </row>
    <row r="32" spans="1:13" s="1199" customFormat="1" ht="12.2" customHeight="1" x14ac:dyDescent="0.2">
      <c r="B32" s="1202" t="s">
        <v>2021</v>
      </c>
      <c r="C32" s="1203" t="s">
        <v>1637</v>
      </c>
      <c r="D32" s="1197"/>
      <c r="E32" s="1197"/>
    </row>
    <row r="33" spans="1:8" s="1199" customFormat="1" ht="10.9" customHeight="1" x14ac:dyDescent="0.2">
      <c r="B33" s="1204"/>
      <c r="C33" s="1207" t="s">
        <v>1789</v>
      </c>
      <c r="D33" s="1197"/>
      <c r="E33" s="1197"/>
    </row>
    <row r="34" spans="1:8" ht="9" customHeight="1" x14ac:dyDescent="0.2">
      <c r="B34" s="1204"/>
      <c r="C34" s="1207"/>
    </row>
    <row r="35" spans="1:8" s="1199" customFormat="1" ht="13.5" customHeight="1" x14ac:dyDescent="0.2">
      <c r="B35" s="1202" t="s">
        <v>2021</v>
      </c>
      <c r="C35" s="1203" t="s">
        <v>1638</v>
      </c>
    </row>
    <row r="36" spans="1:8" s="1199" customFormat="1" ht="10.9" customHeight="1" x14ac:dyDescent="0.2">
      <c r="B36" s="1204"/>
      <c r="C36" s="1207" t="s">
        <v>1639</v>
      </c>
    </row>
    <row r="37" spans="1:8" ht="9" customHeight="1" x14ac:dyDescent="0.2">
      <c r="B37" s="1204"/>
      <c r="C37" s="1207"/>
    </row>
    <row r="38" spans="1:8" s="1199" customFormat="1" ht="12.2" customHeight="1" x14ac:dyDescent="0.2">
      <c r="B38" s="1202" t="s">
        <v>2021</v>
      </c>
      <c r="C38" s="1203" t="s">
        <v>1640</v>
      </c>
    </row>
    <row r="39" spans="1:8" ht="9" customHeight="1" x14ac:dyDescent="0.2">
      <c r="B39" s="1204"/>
      <c r="C39" s="1207"/>
    </row>
    <row r="40" spans="1:8" s="1199" customFormat="1" ht="13.5" customHeight="1" x14ac:dyDescent="0.2">
      <c r="B40" s="1202" t="s">
        <v>2021</v>
      </c>
      <c r="C40" s="1203" t="s">
        <v>1641</v>
      </c>
    </row>
    <row r="41" spans="1:8" ht="9" customHeight="1" x14ac:dyDescent="0.2">
      <c r="A41" s="1208"/>
      <c r="B41" s="1204"/>
      <c r="C41" s="1207"/>
    </row>
    <row r="42" spans="1:8" s="1199" customFormat="1" ht="13.5" customHeight="1" x14ac:dyDescent="0.2">
      <c r="B42" s="1202" t="s">
        <v>2021</v>
      </c>
      <c r="C42" s="1203" t="s">
        <v>1893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1642</v>
      </c>
      <c r="D46" s="1197"/>
      <c r="E46" s="1197"/>
      <c r="F46" s="1197"/>
      <c r="G46" s="1197"/>
      <c r="H46" s="1197"/>
    </row>
    <row r="47" spans="1:8" ht="9" customHeight="1" x14ac:dyDescent="0.2"/>
    <row r="48" spans="1:8" ht="12.2" customHeight="1" x14ac:dyDescent="0.2">
      <c r="B48" s="1211"/>
      <c r="C48" s="1212" t="s">
        <v>1643</v>
      </c>
    </row>
    <row r="49" spans="1:12" ht="9" customHeight="1" x14ac:dyDescent="0.2"/>
    <row r="50" spans="1:12" ht="6" customHeight="1" x14ac:dyDescent="0.2">
      <c r="C50" s="1212"/>
    </row>
    <row r="51" spans="1:12" ht="12.2" customHeight="1" x14ac:dyDescent="0.2">
      <c r="A51" s="1214" t="s">
        <v>1790</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&amp;C55</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2"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BMP Tri County Special Ed Coop</v>
      </c>
      <c r="B1" s="2420"/>
      <c r="C1" s="2420"/>
      <c r="D1" s="2420"/>
    </row>
    <row r="2" spans="1:11" s="1215" customFormat="1" ht="12.75" x14ac:dyDescent="0.2">
      <c r="A2" s="2444">
        <f>'Single Audit Cover'!E7</f>
        <v>35059005061</v>
      </c>
      <c r="B2" s="2445"/>
      <c r="C2" s="2445"/>
      <c r="D2" s="2445"/>
    </row>
    <row r="3" spans="1:11" s="1215" customFormat="1" ht="12.75" x14ac:dyDescent="0.2">
      <c r="A3" s="2443" t="s">
        <v>1587</v>
      </c>
      <c r="B3" s="2420"/>
      <c r="C3" s="2420"/>
      <c r="D3" s="2420"/>
    </row>
    <row r="4" spans="1:11" s="1215" customFormat="1" ht="4.5" customHeight="1" x14ac:dyDescent="0.2">
      <c r="A4" s="1216"/>
      <c r="B4" s="1217"/>
      <c r="C4" s="1217"/>
      <c r="D4" s="1217"/>
    </row>
    <row r="5" spans="1:11" x14ac:dyDescent="0.2">
      <c r="B5" s="1219" t="s">
        <v>1588</v>
      </c>
      <c r="C5" s="1220"/>
      <c r="D5" s="1221"/>
    </row>
    <row r="6" spans="1:11" x14ac:dyDescent="0.2">
      <c r="B6" s="1219" t="s">
        <v>1287</v>
      </c>
      <c r="C6" s="1220"/>
      <c r="D6" s="1221"/>
    </row>
    <row r="7" spans="1:11" x14ac:dyDescent="0.2">
      <c r="B7" s="1219" t="s">
        <v>1589</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1791</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1792</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1793</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1794</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1815</v>
      </c>
      <c r="E24" s="1228"/>
      <c r="F24" s="1228"/>
      <c r="G24" s="1228"/>
      <c r="H24" s="1228"/>
      <c r="I24" s="1228"/>
      <c r="J24" s="1228"/>
      <c r="K24" s="1228"/>
    </row>
    <row r="25" spans="1:11" x14ac:dyDescent="0.2">
      <c r="A25" s="1222"/>
      <c r="B25" s="1231"/>
      <c r="D25" s="1230" t="s">
        <v>1795</v>
      </c>
      <c r="E25" s="1228"/>
      <c r="F25" s="1228"/>
      <c r="G25" s="1228"/>
      <c r="H25" s="1228"/>
      <c r="I25" s="1228"/>
      <c r="J25" s="1228"/>
      <c r="K25" s="1228"/>
    </row>
    <row r="26" spans="1:11" x14ac:dyDescent="0.2">
      <c r="A26" s="1222"/>
      <c r="B26" s="1231"/>
      <c r="D26" s="1235" t="s">
        <v>1796</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1644</v>
      </c>
      <c r="E28" s="1228"/>
      <c r="F28" s="1228"/>
      <c r="G28" s="1228"/>
      <c r="H28" s="1228"/>
      <c r="I28" s="1228"/>
      <c r="J28" s="1228"/>
      <c r="K28" s="1228"/>
    </row>
    <row r="29" spans="1:11" ht="10.5" customHeight="1" x14ac:dyDescent="0.2">
      <c r="A29" s="1222"/>
      <c r="D29" s="1236" t="s">
        <v>1645</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1646</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1646</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1647</v>
      </c>
    </row>
    <row r="41" spans="1:5" ht="3" customHeight="1" x14ac:dyDescent="0.2">
      <c r="A41" s="1222"/>
      <c r="B41" s="1239"/>
      <c r="C41" s="1240"/>
      <c r="D41" s="1221"/>
    </row>
    <row r="42" spans="1:5" ht="10.5" customHeight="1" x14ac:dyDescent="0.2">
      <c r="A42" s="1222"/>
      <c r="B42" s="1241"/>
      <c r="C42" s="1232">
        <v>11</v>
      </c>
      <c r="D42" s="1243" t="s">
        <v>1648</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1649</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1797</v>
      </c>
    </row>
    <row r="57" spans="1:4" ht="10.5" customHeight="1" x14ac:dyDescent="0.2">
      <c r="A57" s="1222"/>
      <c r="D57" s="1237" t="s">
        <v>1798</v>
      </c>
    </row>
    <row r="58" spans="1:4" x14ac:dyDescent="0.2">
      <c r="A58" s="1222"/>
      <c r="C58" s="1244"/>
      <c r="D58" s="1237" t="s">
        <v>1799</v>
      </c>
    </row>
    <row r="59" spans="1:4" ht="10.5" customHeight="1" x14ac:dyDescent="0.2">
      <c r="A59" s="1222"/>
      <c r="D59" s="1221" t="s">
        <v>1271</v>
      </c>
    </row>
    <row r="60" spans="1:4" ht="10.5" customHeight="1" x14ac:dyDescent="0.2">
      <c r="A60" s="1222"/>
      <c r="D60" s="1245" t="s">
        <v>1667</v>
      </c>
    </row>
    <row r="61" spans="1:4" ht="10.5" customHeight="1" x14ac:dyDescent="0.2">
      <c r="A61" s="1222"/>
      <c r="C61" s="1244"/>
      <c r="D61" s="1237" t="s">
        <v>1800</v>
      </c>
    </row>
    <row r="62" spans="1:4" ht="10.5" customHeight="1" x14ac:dyDescent="0.2">
      <c r="A62" s="1222"/>
      <c r="D62" s="1246" t="s">
        <v>1270</v>
      </c>
    </row>
    <row r="63" spans="1:4" ht="10.5" customHeight="1" x14ac:dyDescent="0.2">
      <c r="A63" s="1222"/>
      <c r="D63" s="1221" t="s">
        <v>1650</v>
      </c>
    </row>
    <row r="64" spans="1:4" ht="10.5" customHeight="1" x14ac:dyDescent="0.2">
      <c r="A64" s="1222"/>
      <c r="D64" s="1245" t="s">
        <v>1666</v>
      </c>
    </row>
    <row r="65" spans="1:4" x14ac:dyDescent="0.2">
      <c r="A65" s="1222"/>
      <c r="C65" s="1244"/>
      <c r="D65" s="1237" t="s">
        <v>1801</v>
      </c>
    </row>
    <row r="66" spans="1:4" ht="10.5" customHeight="1" x14ac:dyDescent="0.2">
      <c r="A66" s="1222"/>
      <c r="D66" s="1247" t="s">
        <v>1269</v>
      </c>
    </row>
    <row r="67" spans="1:4" ht="10.5" customHeight="1" x14ac:dyDescent="0.2">
      <c r="A67" s="1222"/>
      <c r="D67" s="1221" t="s">
        <v>1651</v>
      </c>
    </row>
    <row r="68" spans="1:4" ht="10.5" customHeight="1" x14ac:dyDescent="0.2">
      <c r="A68" s="1222"/>
      <c r="D68" s="1245" t="s">
        <v>1666</v>
      </c>
    </row>
    <row r="69" spans="1:4" ht="10.5" customHeight="1" x14ac:dyDescent="0.2">
      <c r="A69" s="1222"/>
      <c r="C69" s="1244"/>
      <c r="D69" s="1237" t="s">
        <v>1802</v>
      </c>
    </row>
    <row r="70" spans="1:4" x14ac:dyDescent="0.2">
      <c r="A70" s="1222"/>
      <c r="D70" s="1246" t="s">
        <v>1268</v>
      </c>
    </row>
    <row r="71" spans="1:4" ht="3" customHeight="1" x14ac:dyDescent="0.2">
      <c r="A71" s="1222"/>
      <c r="D71" s="1221"/>
    </row>
    <row r="72" spans="1:4" x14ac:dyDescent="0.2">
      <c r="A72" s="1222"/>
      <c r="B72" s="1225"/>
      <c r="C72" s="1226">
        <f>C56+1</f>
        <v>18</v>
      </c>
      <c r="D72" s="1247" t="s">
        <v>1803</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1804</v>
      </c>
    </row>
    <row r="77" spans="1:4" ht="3" customHeight="1" x14ac:dyDescent="0.2">
      <c r="A77" s="1222"/>
      <c r="B77" s="1229"/>
      <c r="C77" s="1226"/>
      <c r="D77" s="1248"/>
    </row>
    <row r="78" spans="1:4" x14ac:dyDescent="0.2">
      <c r="A78" s="1222"/>
      <c r="B78" s="1225"/>
      <c r="C78" s="1226">
        <f>C76+1</f>
        <v>21</v>
      </c>
      <c r="D78" s="1221" t="s">
        <v>1805</v>
      </c>
    </row>
    <row r="79" spans="1:4" ht="3" customHeight="1" x14ac:dyDescent="0.2">
      <c r="A79" s="1222"/>
      <c r="B79" s="1229"/>
      <c r="C79" s="1226"/>
      <c r="D79" s="1221"/>
    </row>
    <row r="80" spans="1:4" x14ac:dyDescent="0.2">
      <c r="A80" s="1222"/>
      <c r="B80" s="1225"/>
      <c r="C80" s="1226">
        <f>C78+1</f>
        <v>22</v>
      </c>
      <c r="D80" s="1249" t="s">
        <v>1806</v>
      </c>
    </row>
    <row r="81" spans="1:4" ht="3" customHeight="1" x14ac:dyDescent="0.2">
      <c r="A81" s="1222"/>
      <c r="B81" s="1229"/>
      <c r="C81" s="1226"/>
      <c r="D81" s="1249"/>
    </row>
    <row r="82" spans="1:4" x14ac:dyDescent="0.2">
      <c r="A82" s="1222"/>
      <c r="B82" s="1225"/>
      <c r="C82" s="1226">
        <f>C80+1</f>
        <v>23</v>
      </c>
      <c r="D82" s="1248" t="s">
        <v>1807</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1808</v>
      </c>
    </row>
    <row r="92" spans="1:4" x14ac:dyDescent="0.2">
      <c r="A92" s="1222"/>
      <c r="B92" s="1250"/>
      <c r="C92" s="1244"/>
      <c r="D92" s="1237" t="s">
        <v>1262</v>
      </c>
    </row>
    <row r="93" spans="1:4" ht="4.5" customHeight="1" x14ac:dyDescent="0.2">
      <c r="A93" s="1222"/>
      <c r="D93" s="1221"/>
    </row>
    <row r="94" spans="1:4" x14ac:dyDescent="0.2">
      <c r="A94" s="1222"/>
      <c r="B94" s="1223" t="s">
        <v>1652</v>
      </c>
      <c r="C94" s="1224"/>
      <c r="D94" s="1221"/>
    </row>
    <row r="95" spans="1:4" ht="4.5" customHeight="1" x14ac:dyDescent="0.2">
      <c r="A95" s="1222"/>
      <c r="B95" s="1223"/>
      <c r="C95" s="1224"/>
      <c r="D95" s="1221"/>
    </row>
    <row r="96" spans="1:4" x14ac:dyDescent="0.2">
      <c r="A96" s="1222"/>
      <c r="B96" s="1225"/>
      <c r="C96" s="1226">
        <f>C91+1</f>
        <v>28</v>
      </c>
      <c r="D96" s="1237" t="s">
        <v>1809</v>
      </c>
    </row>
    <row r="97" spans="1:4" ht="3" customHeight="1" x14ac:dyDescent="0.2">
      <c r="A97" s="1222"/>
      <c r="B97" s="1229"/>
      <c r="C97" s="1226"/>
      <c r="D97" s="1237"/>
    </row>
    <row r="98" spans="1:4" x14ac:dyDescent="0.2">
      <c r="A98" s="1222"/>
      <c r="B98" s="1225"/>
      <c r="C98" s="1226">
        <f>C96+1</f>
        <v>29</v>
      </c>
      <c r="D98" s="1251" t="s">
        <v>1810</v>
      </c>
    </row>
    <row r="99" spans="1:4" ht="3" customHeight="1" x14ac:dyDescent="0.2">
      <c r="A99" s="1222"/>
      <c r="B99" s="1229"/>
      <c r="C99" s="1226"/>
      <c r="D99" s="1251"/>
    </row>
    <row r="100" spans="1:4" x14ac:dyDescent="0.2">
      <c r="A100" s="1222"/>
      <c r="B100" s="1225"/>
      <c r="C100" s="1226">
        <f>C98+1</f>
        <v>30</v>
      </c>
      <c r="D100" s="1237" t="s">
        <v>1811</v>
      </c>
    </row>
    <row r="101" spans="1:4" ht="3" customHeight="1" x14ac:dyDescent="0.2">
      <c r="A101" s="1222"/>
      <c r="B101" s="1229"/>
      <c r="C101" s="1226"/>
      <c r="D101" s="1252"/>
    </row>
    <row r="102" spans="1:4" x14ac:dyDescent="0.2">
      <c r="A102" s="1222"/>
      <c r="B102" s="1225"/>
      <c r="C102" s="1226">
        <f>C100+1</f>
        <v>31</v>
      </c>
      <c r="D102" s="1237" t="s">
        <v>1653</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1654</v>
      </c>
    </row>
    <row r="107" spans="1:4" ht="3" customHeight="1" x14ac:dyDescent="0.2">
      <c r="A107" s="1222"/>
      <c r="B107" s="1229"/>
      <c r="C107" s="1226"/>
      <c r="D107" s="1221"/>
    </row>
    <row r="108" spans="1:4" x14ac:dyDescent="0.2">
      <c r="A108" s="1222"/>
      <c r="B108" s="1225"/>
      <c r="C108" s="1226">
        <v>33</v>
      </c>
      <c r="D108" s="1221" t="s">
        <v>1812</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1813</v>
      </c>
    </row>
    <row r="118" spans="1:4" ht="3" customHeight="1" x14ac:dyDescent="0.2">
      <c r="A118" s="1222"/>
      <c r="B118" s="1229"/>
      <c r="C118" s="1226"/>
      <c r="D118" s="1237"/>
    </row>
    <row r="119" spans="1:4" x14ac:dyDescent="0.2">
      <c r="A119" s="1222"/>
      <c r="B119" s="1225"/>
      <c r="C119" s="1226">
        <f>C117+1</f>
        <v>38</v>
      </c>
      <c r="D119" s="1237" t="s">
        <v>1814</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1894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BMP Tri County Special Ed Coop</v>
      </c>
      <c r="B1" s="2447"/>
      <c r="C1" s="2447"/>
      <c r="D1" s="2447"/>
      <c r="E1" s="2447"/>
    </row>
    <row r="2" spans="1:5" x14ac:dyDescent="0.2">
      <c r="A2" s="2448">
        <f>'Single Audit Cover'!E7</f>
        <v>35059005061</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1804053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1816</v>
      </c>
      <c r="B14" s="1262"/>
      <c r="C14" s="1262"/>
      <c r="D14" s="1264">
        <f>'ICR Computation 30'!E11</f>
        <v>0</v>
      </c>
    </row>
    <row r="15" spans="1:5" x14ac:dyDescent="0.2">
      <c r="A15" s="1261"/>
      <c r="B15" s="1262"/>
      <c r="C15" s="1262"/>
    </row>
    <row r="16" spans="1:5" x14ac:dyDescent="0.2">
      <c r="A16" s="1261" t="s">
        <v>1900</v>
      </c>
      <c r="B16" s="1262"/>
      <c r="C16" s="1262"/>
    </row>
    <row r="17" spans="1:4" x14ac:dyDescent="0.2">
      <c r="A17" s="1261" t="s">
        <v>1595</v>
      </c>
      <c r="B17" s="1262" t="s">
        <v>1298</v>
      </c>
      <c r="C17" s="1262"/>
      <c r="D17" s="1264">
        <f>-SUM('Revenues 9-14'!C271:D271,'Revenues 9-14'!F271:G271)</f>
        <v>-146997</v>
      </c>
    </row>
    <row r="19" spans="1:4" ht="13.5" thickBot="1" x14ac:dyDescent="0.25">
      <c r="A19" s="1265" t="s">
        <v>1297</v>
      </c>
      <c r="D19" s="1266">
        <f>SUM(D10:D17)</f>
        <v>1657056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1657056</v>
      </c>
    </row>
    <row r="33" spans="1:4" x14ac:dyDescent="0.2">
      <c r="D33" s="1269"/>
    </row>
    <row r="34" spans="1:4" x14ac:dyDescent="0.2">
      <c r="A34" s="317" t="s">
        <v>1294</v>
      </c>
    </row>
    <row r="35" spans="1:4" x14ac:dyDescent="0.2">
      <c r="A35" s="317" t="s">
        <v>1293</v>
      </c>
      <c r="B35" s="1258" t="s">
        <v>1292</v>
      </c>
      <c r="D35" s="1270">
        <v>1657056</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1657056</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&amp;C56</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4"/>
  <sheetViews>
    <sheetView showGridLines="0" zoomScaleNormal="100" workbookViewId="0">
      <selection activeCell="H6" sqref="H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BMP Tri County Special Ed Coop</v>
      </c>
      <c r="C1" s="2451"/>
      <c r="D1" s="2451"/>
      <c r="E1" s="2451"/>
      <c r="F1" s="2451"/>
      <c r="G1" s="2451"/>
      <c r="H1" s="2451"/>
      <c r="I1" s="2451"/>
      <c r="J1" s="2451"/>
      <c r="K1" s="2451"/>
      <c r="L1" s="2451"/>
      <c r="M1" s="2451"/>
    </row>
    <row r="2" spans="2:14" ht="15" x14ac:dyDescent="0.2">
      <c r="B2" s="2452">
        <f>'Single Audit Cover'!E7</f>
        <v>35059005061</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2093</v>
      </c>
      <c r="H6" s="1306"/>
      <c r="I6" s="1306"/>
      <c r="J6" s="1306"/>
      <c r="K6" s="1309"/>
      <c r="L6" s="1310"/>
      <c r="M6" s="1311"/>
    </row>
    <row r="7" spans="2:14" x14ac:dyDescent="0.2">
      <c r="B7" s="1312" t="s">
        <v>1655</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1656</v>
      </c>
      <c r="I8" s="1319" t="s">
        <v>1324</v>
      </c>
      <c r="J8" s="1318" t="s">
        <v>1896</v>
      </c>
      <c r="K8" s="1319" t="s">
        <v>1323</v>
      </c>
      <c r="L8" s="1320" t="s">
        <v>1319</v>
      </c>
      <c r="M8" s="1321" t="s">
        <v>30</v>
      </c>
    </row>
    <row r="9" spans="2:14" x14ac:dyDescent="0.2">
      <c r="B9" s="1325" t="s">
        <v>1321</v>
      </c>
      <c r="C9" s="1313" t="s">
        <v>2091</v>
      </c>
      <c r="D9" s="1314" t="s">
        <v>2092</v>
      </c>
      <c r="E9" s="1322" t="s">
        <v>1656</v>
      </c>
      <c r="F9" s="1323" t="s">
        <v>1896</v>
      </c>
      <c r="G9" s="1324" t="s">
        <v>1656</v>
      </c>
      <c r="H9" s="1317" t="s">
        <v>1657</v>
      </c>
      <c r="I9" s="1319" t="s">
        <v>1896</v>
      </c>
      <c r="J9" s="1318" t="s">
        <v>1657</v>
      </c>
      <c r="K9" s="1319" t="s">
        <v>1320</v>
      </c>
      <c r="L9" s="1326" t="s">
        <v>1658</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2047</v>
      </c>
      <c r="C11" s="1338"/>
      <c r="D11" s="1339"/>
      <c r="E11" s="1340"/>
      <c r="F11" s="1340"/>
      <c r="G11" s="1340"/>
      <c r="H11" s="1340"/>
      <c r="I11" s="1340"/>
      <c r="J11" s="1340"/>
      <c r="K11" s="1340"/>
      <c r="L11" s="1340"/>
      <c r="M11" s="1340"/>
    </row>
    <row r="12" spans="2:14" ht="20.100000000000001" customHeight="1" x14ac:dyDescent="0.2">
      <c r="B12" s="1337" t="s">
        <v>2048</v>
      </c>
      <c r="C12" s="1341"/>
      <c r="D12" s="1342"/>
      <c r="E12" s="1343"/>
      <c r="F12" s="1343"/>
      <c r="G12" s="1343"/>
      <c r="H12" s="1343"/>
      <c r="I12" s="1343"/>
      <c r="J12" s="1343"/>
      <c r="K12" s="1343"/>
      <c r="L12" s="1340"/>
      <c r="M12" s="1343"/>
    </row>
    <row r="13" spans="2:14" ht="20.100000000000001" customHeight="1" x14ac:dyDescent="0.2">
      <c r="B13" s="1337" t="s">
        <v>2049</v>
      </c>
      <c r="C13" s="1341" t="s">
        <v>2059</v>
      </c>
      <c r="D13" s="1342" t="s">
        <v>2067</v>
      </c>
      <c r="E13" s="1343">
        <v>381</v>
      </c>
      <c r="F13" s="1343">
        <v>0</v>
      </c>
      <c r="G13" s="1343">
        <v>381</v>
      </c>
      <c r="H13" s="1343">
        <v>0</v>
      </c>
      <c r="I13" s="1343">
        <v>0</v>
      </c>
      <c r="J13" s="1343">
        <v>0</v>
      </c>
      <c r="K13" s="1343">
        <v>0</v>
      </c>
      <c r="L13" s="1340">
        <f>I13+J13+K13</f>
        <v>0</v>
      </c>
      <c r="M13" s="1343">
        <v>84221</v>
      </c>
    </row>
    <row r="14" spans="2:14" ht="20.100000000000001" customHeight="1" x14ac:dyDescent="0.2">
      <c r="B14" s="1337" t="s">
        <v>2049</v>
      </c>
      <c r="C14" s="1341" t="s">
        <v>2059</v>
      </c>
      <c r="D14" s="1342" t="s">
        <v>2061</v>
      </c>
      <c r="E14" s="1343">
        <v>65227</v>
      </c>
      <c r="F14" s="1343">
        <v>5032</v>
      </c>
      <c r="G14" s="1343">
        <v>65227</v>
      </c>
      <c r="H14" s="1343">
        <v>0</v>
      </c>
      <c r="I14" s="1343">
        <v>5032</v>
      </c>
      <c r="J14" s="1343">
        <v>0</v>
      </c>
      <c r="K14" s="1343">
        <v>0</v>
      </c>
      <c r="L14" s="1340">
        <f t="shared" ref="L14:L27" si="0">+G14+I14+K14</f>
        <v>70259</v>
      </c>
      <c r="M14" s="1343">
        <v>82659</v>
      </c>
    </row>
    <row r="15" spans="2:14" ht="20.100000000000001" customHeight="1" x14ac:dyDescent="0.2">
      <c r="B15" s="1337" t="s">
        <v>2050</v>
      </c>
      <c r="C15" s="1341" t="s">
        <v>2059</v>
      </c>
      <c r="D15" s="1342" t="s">
        <v>2062</v>
      </c>
      <c r="E15" s="1343">
        <v>0</v>
      </c>
      <c r="F15" s="1343">
        <f>65624-5032</f>
        <v>60592</v>
      </c>
      <c r="G15" s="1343">
        <v>0</v>
      </c>
      <c r="H15" s="1343">
        <v>0</v>
      </c>
      <c r="I15" s="1343">
        <v>60592</v>
      </c>
      <c r="J15" s="1343">
        <v>0</v>
      </c>
      <c r="K15" s="1343">
        <v>0</v>
      </c>
      <c r="L15" s="1340">
        <f>I15+J15+K15</f>
        <v>60592</v>
      </c>
      <c r="M15" s="1343">
        <v>70890</v>
      </c>
    </row>
    <row r="16" spans="2:14" ht="20.100000000000001" customHeight="1" x14ac:dyDescent="0.2">
      <c r="B16" s="1337" t="s">
        <v>2068</v>
      </c>
      <c r="C16" s="1341" t="s">
        <v>2060</v>
      </c>
      <c r="D16" s="1342" t="s">
        <v>2069</v>
      </c>
      <c r="E16" s="1343">
        <v>38604</v>
      </c>
      <c r="F16" s="1343">
        <v>0</v>
      </c>
      <c r="G16" s="1343">
        <v>38604</v>
      </c>
      <c r="H16" s="1343">
        <v>0</v>
      </c>
      <c r="I16" s="1343">
        <v>0</v>
      </c>
      <c r="J16" s="1343">
        <v>0</v>
      </c>
      <c r="K16" s="1343">
        <v>0</v>
      </c>
      <c r="L16" s="1340">
        <f>I16+J16+K16</f>
        <v>0</v>
      </c>
      <c r="M16" s="1343">
        <v>1669047</v>
      </c>
    </row>
    <row r="17" spans="2:14" ht="20.100000000000001" customHeight="1" x14ac:dyDescent="0.2">
      <c r="B17" s="1337" t="s">
        <v>2051</v>
      </c>
      <c r="C17" s="1341" t="s">
        <v>2060</v>
      </c>
      <c r="D17" s="1342" t="s">
        <v>2063</v>
      </c>
      <c r="E17" s="1343">
        <v>1449207</v>
      </c>
      <c r="F17" s="1343">
        <v>91321</v>
      </c>
      <c r="G17" s="1343">
        <v>1449207</v>
      </c>
      <c r="H17" s="1343">
        <v>104439</v>
      </c>
      <c r="I17" s="1343">
        <v>91321</v>
      </c>
      <c r="J17" s="1343">
        <v>0</v>
      </c>
      <c r="K17" s="1343">
        <v>0</v>
      </c>
      <c r="L17" s="1340">
        <f t="shared" si="0"/>
        <v>1540528</v>
      </c>
      <c r="M17" s="1343">
        <v>1526975</v>
      </c>
    </row>
    <row r="18" spans="2:14" ht="20.100000000000001" customHeight="1" x14ac:dyDescent="0.2">
      <c r="B18" s="1337" t="s">
        <v>2052</v>
      </c>
      <c r="C18" s="1341" t="s">
        <v>2060</v>
      </c>
      <c r="D18" s="1342" t="s">
        <v>2064</v>
      </c>
      <c r="E18" s="1343">
        <v>0</v>
      </c>
      <c r="F18" s="1343">
        <f>1502159-91321</f>
        <v>1410838</v>
      </c>
      <c r="G18" s="1343">
        <v>0</v>
      </c>
      <c r="H18" s="1343">
        <v>0</v>
      </c>
      <c r="I18" s="1343">
        <v>1410838</v>
      </c>
      <c r="J18" s="1343">
        <v>9392</v>
      </c>
      <c r="K18" s="1343">
        <v>0</v>
      </c>
      <c r="L18" s="1340">
        <f t="shared" si="0"/>
        <v>1410838</v>
      </c>
      <c r="M18" s="1343">
        <v>1540567</v>
      </c>
    </row>
    <row r="19" spans="2:14" ht="9" customHeight="1" x14ac:dyDescent="0.2">
      <c r="B19" s="1337"/>
      <c r="C19" s="1341"/>
      <c r="D19" s="1342"/>
      <c r="E19" s="1343"/>
      <c r="F19" s="1343"/>
      <c r="G19" s="1343"/>
      <c r="H19" s="1343"/>
      <c r="I19" s="1343"/>
      <c r="J19" s="1343"/>
      <c r="K19" s="1343"/>
      <c r="L19" s="1340"/>
      <c r="M19" s="1343"/>
    </row>
    <row r="20" spans="2:14" ht="20.100000000000001" customHeight="1" x14ac:dyDescent="0.2">
      <c r="B20" s="1337" t="s">
        <v>2053</v>
      </c>
      <c r="C20" s="1341"/>
      <c r="D20" s="1342"/>
      <c r="E20" s="1343">
        <f t="shared" ref="E20:K20" si="1">SUM(E13:E18)</f>
        <v>1553419</v>
      </c>
      <c r="F20" s="1343">
        <f t="shared" si="1"/>
        <v>1567783</v>
      </c>
      <c r="G20" s="1343">
        <f t="shared" si="1"/>
        <v>1553419</v>
      </c>
      <c r="H20" s="1343">
        <f t="shared" si="1"/>
        <v>104439</v>
      </c>
      <c r="I20" s="1343">
        <f t="shared" si="1"/>
        <v>1567783</v>
      </c>
      <c r="J20" s="1343">
        <f t="shared" si="1"/>
        <v>9392</v>
      </c>
      <c r="K20" s="1343">
        <f t="shared" si="1"/>
        <v>0</v>
      </c>
      <c r="L20" s="1340">
        <f t="shared" si="0"/>
        <v>3121202</v>
      </c>
      <c r="M20" s="1343">
        <f>SUM(M13:M18)</f>
        <v>4974359</v>
      </c>
    </row>
    <row r="21" spans="2:14" ht="20.100000000000001" customHeight="1" x14ac:dyDescent="0.2">
      <c r="B21" s="1337" t="s">
        <v>2054</v>
      </c>
      <c r="C21" s="1341"/>
      <c r="D21" s="1342"/>
      <c r="E21" s="1343"/>
      <c r="F21" s="1343"/>
      <c r="G21" s="1343"/>
      <c r="H21" s="1343"/>
      <c r="I21" s="1343"/>
      <c r="J21" s="1343"/>
      <c r="K21" s="1343"/>
      <c r="L21" s="1340"/>
      <c r="M21" s="1343"/>
    </row>
    <row r="22" spans="2:14" ht="20.100000000000001" customHeight="1" x14ac:dyDescent="0.2">
      <c r="B22" s="1337" t="s">
        <v>2055</v>
      </c>
      <c r="C22" s="1341"/>
      <c r="D22" s="1342"/>
      <c r="E22" s="1343"/>
      <c r="F22" s="1343"/>
      <c r="G22" s="1343"/>
      <c r="H22" s="1343"/>
      <c r="I22" s="1343"/>
      <c r="J22" s="1343"/>
      <c r="K22" s="1343"/>
      <c r="L22" s="1340"/>
      <c r="M22" s="1343"/>
    </row>
    <row r="23" spans="2:14" ht="20.100000000000001" customHeight="1" x14ac:dyDescent="0.2">
      <c r="B23" s="1337" t="s">
        <v>2056</v>
      </c>
      <c r="C23" s="1341">
        <v>93.778000000000006</v>
      </c>
      <c r="D23" s="1342" t="s">
        <v>2065</v>
      </c>
      <c r="E23" s="1343">
        <v>76675</v>
      </c>
      <c r="F23" s="1343">
        <v>0</v>
      </c>
      <c r="G23" s="1343">
        <v>76675</v>
      </c>
      <c r="H23" s="1343">
        <v>0</v>
      </c>
      <c r="I23" s="1343">
        <v>0</v>
      </c>
      <c r="J23" s="1343">
        <v>0</v>
      </c>
      <c r="K23" s="1343">
        <v>0</v>
      </c>
      <c r="L23" s="1340">
        <f t="shared" si="0"/>
        <v>76675</v>
      </c>
      <c r="M23" s="1343">
        <v>25000</v>
      </c>
    </row>
    <row r="24" spans="2:14" ht="20.100000000000001" customHeight="1" x14ac:dyDescent="0.2">
      <c r="B24" s="1337" t="s">
        <v>2056</v>
      </c>
      <c r="C24" s="1341">
        <v>93.778000000000006</v>
      </c>
      <c r="D24" s="1342" t="s">
        <v>2066</v>
      </c>
      <c r="E24" s="1343">
        <v>0</v>
      </c>
      <c r="F24" s="1343">
        <v>89273</v>
      </c>
      <c r="G24" s="1343">
        <v>0</v>
      </c>
      <c r="H24" s="1343">
        <v>0</v>
      </c>
      <c r="I24" s="1343">
        <v>89273</v>
      </c>
      <c r="J24" s="1343">
        <v>0</v>
      </c>
      <c r="K24" s="1343">
        <v>0</v>
      </c>
      <c r="L24" s="1340">
        <f>I24+J24+K24</f>
        <v>89273</v>
      </c>
      <c r="M24" s="1343">
        <v>25000</v>
      </c>
    </row>
    <row r="25" spans="2:14" ht="20.100000000000001" customHeight="1" x14ac:dyDescent="0.2">
      <c r="B25" s="1337" t="s">
        <v>2057</v>
      </c>
      <c r="C25" s="1341"/>
      <c r="D25" s="1342"/>
      <c r="E25" s="1343">
        <f t="shared" ref="E25:K25" si="2">SUM(E23:E24)</f>
        <v>76675</v>
      </c>
      <c r="F25" s="1343">
        <f t="shared" si="2"/>
        <v>89273</v>
      </c>
      <c r="G25" s="1343">
        <f t="shared" si="2"/>
        <v>76675</v>
      </c>
      <c r="H25" s="1343">
        <f t="shared" si="2"/>
        <v>0</v>
      </c>
      <c r="I25" s="1343">
        <f t="shared" si="2"/>
        <v>89273</v>
      </c>
      <c r="J25" s="1343">
        <f t="shared" si="2"/>
        <v>0</v>
      </c>
      <c r="K25" s="1343">
        <f t="shared" si="2"/>
        <v>0</v>
      </c>
      <c r="L25" s="1340">
        <f t="shared" si="0"/>
        <v>165948</v>
      </c>
      <c r="M25" s="1343">
        <f>M23+M24</f>
        <v>50000</v>
      </c>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t="s">
        <v>2058</v>
      </c>
      <c r="C27" s="1341"/>
      <c r="D27" s="1342"/>
      <c r="E27" s="1343">
        <f t="shared" ref="E27:K27" si="3">+E20+E25</f>
        <v>1630094</v>
      </c>
      <c r="F27" s="1343">
        <f t="shared" si="3"/>
        <v>1657056</v>
      </c>
      <c r="G27" s="1343">
        <f t="shared" si="3"/>
        <v>1630094</v>
      </c>
      <c r="H27" s="1343">
        <f t="shared" si="3"/>
        <v>104439</v>
      </c>
      <c r="I27" s="1343">
        <f t="shared" si="3"/>
        <v>1657056</v>
      </c>
      <c r="J27" s="1343">
        <f t="shared" si="3"/>
        <v>9392</v>
      </c>
      <c r="K27" s="1343">
        <f t="shared" si="3"/>
        <v>0</v>
      </c>
      <c r="L27" s="1340">
        <f t="shared" si="0"/>
        <v>3287150</v>
      </c>
      <c r="M27" s="1343">
        <f>M20+M25</f>
        <v>5024359</v>
      </c>
    </row>
    <row r="28" spans="2:14" ht="20.100000000000001" customHeight="1" x14ac:dyDescent="0.2">
      <c r="B28" s="1337"/>
      <c r="C28" s="1341"/>
      <c r="D28" s="1342"/>
      <c r="E28" s="1343"/>
      <c r="F28" s="1343"/>
      <c r="G28" s="1343"/>
      <c r="H28" s="1343"/>
      <c r="I28" s="1343"/>
      <c r="J28" s="1343"/>
      <c r="K28" s="1343"/>
      <c r="L28" s="1340"/>
      <c r="M28" s="1343"/>
    </row>
    <row r="29" spans="2:14" ht="20.100000000000001" customHeight="1" x14ac:dyDescent="0.2">
      <c r="B29" s="1337"/>
      <c r="C29" s="1341"/>
      <c r="D29" s="1342"/>
      <c r="E29" s="1343"/>
      <c r="F29" s="1343"/>
      <c r="G29" s="1343"/>
      <c r="H29" s="1343"/>
      <c r="I29" s="1343"/>
      <c r="J29" s="1343"/>
      <c r="K29" s="1343"/>
      <c r="L29" s="1340"/>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1818</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1897</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1308</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18" customHeight="1" x14ac:dyDescent="0.2">
      <c r="B38" s="1363"/>
      <c r="G38" s="317"/>
      <c r="H38" s="317"/>
      <c r="I38" s="317"/>
      <c r="J38" s="317"/>
    </row>
    <row r="39" spans="2:14" ht="11.25" customHeight="1" x14ac:dyDescent="0.2">
      <c r="B39" s="1364"/>
      <c r="C39" s="1365"/>
      <c r="D39" s="1365"/>
      <c r="E39" s="1365"/>
      <c r="F39" s="1365"/>
      <c r="G39" s="1365"/>
      <c r="H39" s="1365"/>
      <c r="I39" s="1366"/>
      <c r="J39" s="1366"/>
      <c r="K39" s="1366"/>
      <c r="L39" s="1366"/>
      <c r="M39" s="1366"/>
    </row>
    <row r="40" spans="2:14" ht="11.25" customHeight="1" x14ac:dyDescent="0.2">
      <c r="B40" s="1367"/>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c r="C42" s="1366"/>
      <c r="D42" s="1366"/>
      <c r="E42" s="1366"/>
      <c r="F42" s="1366"/>
      <c r="G42" s="1366"/>
      <c r="H42" s="1366"/>
      <c r="I42" s="1366"/>
      <c r="J42" s="1366"/>
      <c r="K42" s="1366"/>
      <c r="L42" s="1366"/>
      <c r="M42" s="1366"/>
    </row>
    <row r="43" spans="2:14" ht="11.25" customHeight="1" x14ac:dyDescent="0.2">
      <c r="B43" s="1300"/>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c r="C47" s="1368"/>
      <c r="D47" s="1369"/>
      <c r="E47" s="1300"/>
      <c r="F47" s="1300"/>
      <c r="G47" s="1300"/>
      <c r="H47" s="1300"/>
      <c r="I47" s="1300"/>
      <c r="J47" s="1300"/>
      <c r="K47" s="1370"/>
      <c r="L47" s="1370"/>
      <c r="M47" s="1300"/>
    </row>
    <row r="48" spans="2:14" ht="11.25" customHeight="1" x14ac:dyDescent="0.2">
      <c r="B48" s="1300"/>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&amp;C57</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BMP Tri County Special Ed Coop</v>
      </c>
      <c r="B1" s="2464"/>
      <c r="C1" s="2464"/>
      <c r="D1" s="2464"/>
      <c r="E1" s="2464"/>
      <c r="F1" s="2464"/>
    </row>
    <row r="2" spans="1:7" ht="13.5" customHeight="1" x14ac:dyDescent="0.2">
      <c r="A2" s="2452">
        <f>'Single Audit Cover'!E7</f>
        <v>35059005061</v>
      </c>
      <c r="B2" s="2452"/>
      <c r="C2" s="2452"/>
      <c r="D2" s="2452"/>
      <c r="E2" s="2452"/>
      <c r="F2" s="2452"/>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2094</v>
      </c>
      <c r="C6" s="317"/>
      <c r="D6" s="317"/>
    </row>
    <row r="7" spans="1:7" ht="60.95" customHeight="1" x14ac:dyDescent="0.2">
      <c r="A7" s="2463" t="s">
        <v>2045</v>
      </c>
      <c r="B7" s="2463"/>
      <c r="C7" s="2463"/>
      <c r="D7" s="2463"/>
      <c r="E7" s="2463"/>
      <c r="F7" s="2463"/>
    </row>
    <row r="8" spans="1:7" ht="12" customHeight="1" x14ac:dyDescent="0.2">
      <c r="A8" s="1276"/>
      <c r="B8" s="1282"/>
      <c r="C8" s="1282"/>
      <c r="D8" s="1282"/>
    </row>
    <row r="9" spans="1:7" ht="15" customHeight="1" x14ac:dyDescent="0.2">
      <c r="A9" s="1277" t="s">
        <v>2095</v>
      </c>
      <c r="B9" s="1280"/>
      <c r="C9" s="1280"/>
      <c r="D9" s="1280"/>
      <c r="E9" s="1278"/>
      <c r="F9" s="1278"/>
      <c r="G9" s="1278"/>
    </row>
    <row r="10" spans="1:7" ht="15" customHeight="1" x14ac:dyDescent="0.2">
      <c r="A10" s="1279" t="s">
        <v>1622</v>
      </c>
      <c r="B10" s="1280"/>
      <c r="C10" s="1281"/>
      <c r="D10" s="1280" t="s">
        <v>1623</v>
      </c>
      <c r="E10" s="1281" t="s">
        <v>2021</v>
      </c>
      <c r="F10" s="1280" t="s">
        <v>101</v>
      </c>
      <c r="G10" s="1278"/>
    </row>
    <row r="11" spans="1:7" ht="12" customHeight="1" x14ac:dyDescent="0.2">
      <c r="A11" s="1279"/>
      <c r="B11" s="1280"/>
      <c r="C11" s="1927"/>
      <c r="D11" s="1280"/>
      <c r="E11" s="1927"/>
      <c r="F11" s="1280"/>
      <c r="G11" s="1278"/>
    </row>
    <row r="12" spans="1:7" x14ac:dyDescent="0.2">
      <c r="A12" s="1276" t="s">
        <v>1659</v>
      </c>
      <c r="C12" s="1260"/>
      <c r="D12" s="1260"/>
    </row>
    <row r="13" spans="1:7" ht="24.6" customHeight="1" x14ac:dyDescent="0.2">
      <c r="A13" s="2463" t="s">
        <v>2046</v>
      </c>
      <c r="B13" s="2463"/>
      <c r="C13" s="2463"/>
      <c r="D13" s="2463"/>
      <c r="E13" s="2463"/>
      <c r="F13" s="2463"/>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1660</v>
      </c>
      <c r="E16" s="2462"/>
      <c r="F16" s="2462"/>
    </row>
    <row r="17" spans="1:6" ht="20.45" customHeight="1" x14ac:dyDescent="0.2">
      <c r="A17" s="1283"/>
      <c r="B17" s="1284" t="s">
        <v>2070</v>
      </c>
      <c r="C17" s="1285">
        <v>84.027000000000001</v>
      </c>
      <c r="D17" s="2456">
        <f>3976+659</f>
        <v>4635</v>
      </c>
      <c r="E17" s="2456"/>
      <c r="F17" s="2456"/>
    </row>
    <row r="18" spans="1:6" ht="20.65" customHeight="1" x14ac:dyDescent="0.2">
      <c r="A18" s="1283"/>
      <c r="B18" s="1284" t="s">
        <v>2071</v>
      </c>
      <c r="C18" s="1285">
        <v>84.027000000000001</v>
      </c>
      <c r="D18" s="2456">
        <v>1289</v>
      </c>
      <c r="E18" s="2456"/>
      <c r="F18" s="2456"/>
    </row>
    <row r="19" spans="1:6" ht="20.65" customHeight="1" x14ac:dyDescent="0.2">
      <c r="A19" s="1283"/>
      <c r="B19" s="1284" t="s">
        <v>2072</v>
      </c>
      <c r="C19" s="1285">
        <v>84.027000000000001</v>
      </c>
      <c r="D19" s="2456">
        <v>3468</v>
      </c>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1624</v>
      </c>
      <c r="B31" s="328"/>
      <c r="C31" s="1478"/>
      <c r="D31" s="1928"/>
      <c r="E31" s="1286"/>
    </row>
    <row r="32" spans="1:6" ht="30" customHeight="1" x14ac:dyDescent="0.2">
      <c r="A32" s="2457" t="s">
        <v>2096</v>
      </c>
      <c r="B32" s="2457"/>
      <c r="C32" s="2457"/>
      <c r="D32" s="2457"/>
      <c r="E32" s="2457"/>
      <c r="F32" s="2457"/>
    </row>
    <row r="33" spans="1:6" ht="13.5" customHeight="1" x14ac:dyDescent="0.2">
      <c r="A33" s="328" t="s">
        <v>1503</v>
      </c>
      <c r="B33" s="328"/>
      <c r="C33" s="1288">
        <v>0</v>
      </c>
      <c r="D33" s="1928"/>
      <c r="E33" s="1286"/>
    </row>
    <row r="34" spans="1:6" ht="13.5" customHeight="1" x14ac:dyDescent="0.2">
      <c r="A34" s="328" t="s">
        <v>1895</v>
      </c>
      <c r="B34" s="328"/>
      <c r="C34" s="1289">
        <v>0</v>
      </c>
      <c r="D34" s="1928" t="s">
        <v>1661</v>
      </c>
      <c r="E34" s="2458">
        <f>+C33+C34</f>
        <v>0</v>
      </c>
      <c r="F34" s="2459"/>
    </row>
    <row r="35" spans="1:6" ht="12" customHeight="1" x14ac:dyDescent="0.2">
      <c r="A35" s="328"/>
      <c r="B35" s="328"/>
      <c r="C35" s="1929"/>
      <c r="D35" s="1928"/>
      <c r="E35" s="1290"/>
      <c r="F35" s="1291"/>
    </row>
    <row r="36" spans="1:6" ht="13.5" customHeight="1" x14ac:dyDescent="0.2">
      <c r="A36" s="1287" t="s">
        <v>1625</v>
      </c>
      <c r="B36" s="328"/>
      <c r="C36" s="1478"/>
      <c r="D36" s="1928"/>
      <c r="E36" s="1286"/>
    </row>
    <row r="37" spans="1:6" ht="14.25" customHeight="1" x14ac:dyDescent="0.2">
      <c r="A37" s="328" t="s">
        <v>1557</v>
      </c>
      <c r="B37" s="328"/>
      <c r="C37" s="1930"/>
      <c r="D37" s="1928"/>
      <c r="E37" s="1286"/>
    </row>
    <row r="38" spans="1:6" ht="14.25" customHeight="1" x14ac:dyDescent="0.2">
      <c r="A38" s="328"/>
      <c r="B38" s="328" t="s">
        <v>1504</v>
      </c>
      <c r="C38" s="1292">
        <v>0</v>
      </c>
      <c r="D38" s="1928"/>
      <c r="E38" s="1286"/>
    </row>
    <row r="39" spans="1:6" ht="14.25" customHeight="1" x14ac:dyDescent="0.2">
      <c r="A39" s="328"/>
      <c r="B39" s="328" t="s">
        <v>1505</v>
      </c>
      <c r="C39" s="1292">
        <v>0</v>
      </c>
      <c r="D39" s="1928"/>
      <c r="E39" s="1286"/>
    </row>
    <row r="40" spans="1:6" ht="14.25" customHeight="1" x14ac:dyDescent="0.2">
      <c r="A40" s="328"/>
      <c r="B40" s="328" t="s">
        <v>1506</v>
      </c>
      <c r="C40" s="1292">
        <v>0</v>
      </c>
      <c r="D40" s="1928"/>
      <c r="E40" s="1286"/>
    </row>
    <row r="41" spans="1:6" ht="14.25" customHeight="1" x14ac:dyDescent="0.2">
      <c r="A41" s="328"/>
      <c r="B41" s="328" t="s">
        <v>1507</v>
      </c>
      <c r="C41" s="1292">
        <v>0</v>
      </c>
      <c r="D41" s="1928"/>
      <c r="E41" s="1286"/>
    </row>
    <row r="42" spans="1:6" ht="14.25" customHeight="1" x14ac:dyDescent="0.2">
      <c r="A42" s="328" t="s">
        <v>1508</v>
      </c>
      <c r="B42" s="328"/>
      <c r="C42" s="1926">
        <v>0</v>
      </c>
      <c r="D42" s="1928"/>
      <c r="E42" s="1286"/>
    </row>
    <row r="43" spans="1:6" ht="14.25" customHeight="1" x14ac:dyDescent="0.2">
      <c r="A43" s="328" t="s">
        <v>1509</v>
      </c>
      <c r="B43" s="328"/>
      <c r="C43" s="1293">
        <v>0</v>
      </c>
      <c r="D43" s="1928"/>
      <c r="E43" s="1286"/>
    </row>
    <row r="44" spans="1:6" ht="14.25" customHeight="1" x14ac:dyDescent="0.2">
      <c r="A44" s="328"/>
      <c r="B44" s="328"/>
      <c r="C44" s="1930" t="s">
        <v>1510</v>
      </c>
      <c r="D44" s="1928"/>
      <c r="E44" s="1286"/>
    </row>
    <row r="45" spans="1:6" ht="13.5" customHeight="1" x14ac:dyDescent="0.2">
      <c r="B45" s="322"/>
      <c r="C45" s="1294"/>
      <c r="D45" s="1294"/>
    </row>
    <row r="46" spans="1:6" x14ac:dyDescent="0.2">
      <c r="A46" s="1295" t="s">
        <v>1817</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c r="B49" s="2460"/>
      <c r="C49" s="2460"/>
      <c r="D49" s="2460"/>
      <c r="E49" s="1399"/>
    </row>
    <row r="50" spans="1:5" s="1300" customFormat="1" ht="3.75" customHeight="1" x14ac:dyDescent="0.2">
      <c r="A50" s="1299"/>
      <c r="B50" s="1870"/>
      <c r="C50" s="1870"/>
      <c r="D50" s="1870"/>
      <c r="E50" s="1399"/>
    </row>
    <row r="51" spans="1:5" s="1300" customFormat="1" ht="20.25" customHeight="1" x14ac:dyDescent="0.2">
      <c r="A51" s="1301"/>
      <c r="B51" s="2455"/>
      <c r="C51" s="2455"/>
      <c r="D51" s="2455"/>
    </row>
    <row r="52" spans="1:5" ht="14.25" customHeight="1" x14ac:dyDescent="0.2">
      <c r="A52" s="1301"/>
      <c r="B52" s="2455"/>
      <c r="C52" s="2455"/>
      <c r="D52" s="245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2" firstPageNumber="39" orientation="portrait" useFirstPageNumber="1" r:id="rId1"/>
  <headerFooter alignWithMargins="0">
    <oddFooter>&amp;C58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4"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1721</v>
      </c>
      <c r="B4" s="344"/>
      <c r="C4" s="344"/>
      <c r="D4" s="344"/>
      <c r="E4" s="344"/>
      <c r="F4" s="344"/>
      <c r="G4" s="344"/>
      <c r="H4" s="344"/>
      <c r="I4" s="344"/>
      <c r="J4" s="344"/>
      <c r="K4" s="344"/>
    </row>
    <row r="5" spans="1:11" x14ac:dyDescent="0.2">
      <c r="A5" s="237" t="s">
        <v>1722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1632</v>
      </c>
    </row>
    <row r="10" spans="1:11" s="181" customFormat="1" x14ac:dyDescent="0.2">
      <c r="A10" s="222"/>
      <c r="B10" s="223"/>
      <c r="C10" s="224"/>
      <c r="D10" s="225" t="s">
        <v>1708</v>
      </c>
    </row>
    <row r="11" spans="1:11" s="181" customFormat="1" x14ac:dyDescent="0.2">
      <c r="A11" s="219"/>
      <c r="B11" s="226"/>
      <c r="C11" s="227">
        <v>2</v>
      </c>
      <c r="D11" s="228" t="s">
        <v>1709</v>
      </c>
    </row>
    <row r="12" spans="1:11" s="181" customFormat="1" hidden="1" x14ac:dyDescent="0.2">
      <c r="A12" s="219"/>
      <c r="B12" s="229"/>
      <c r="C12" s="227"/>
      <c r="D12" s="230"/>
    </row>
    <row r="13" spans="1:11" s="181" customFormat="1" x14ac:dyDescent="0.2">
      <c r="A13" s="219"/>
      <c r="B13" s="226"/>
      <c r="C13" s="227">
        <v>3</v>
      </c>
      <c r="D13" s="228" t="s">
        <v>1710</v>
      </c>
    </row>
    <row r="14" spans="1:11" s="181" customFormat="1" x14ac:dyDescent="0.2">
      <c r="A14" s="219"/>
      <c r="B14" s="226"/>
      <c r="C14" s="227">
        <v>4</v>
      </c>
      <c r="D14" s="228" t="s">
        <v>1711</v>
      </c>
    </row>
    <row r="15" spans="1:11" s="181" customFormat="1" x14ac:dyDescent="0.2">
      <c r="A15" s="219"/>
      <c r="B15" s="226"/>
      <c r="C15" s="227">
        <v>5</v>
      </c>
      <c r="D15" s="231" t="s">
        <v>1026</v>
      </c>
    </row>
    <row r="16" spans="1:11" s="181" customFormat="1" x14ac:dyDescent="0.2">
      <c r="A16" s="219"/>
      <c r="B16" s="226"/>
      <c r="C16" s="227">
        <v>6</v>
      </c>
      <c r="D16" s="231" t="s">
        <v>1528</v>
      </c>
    </row>
    <row r="17" spans="1:4" s="181" customFormat="1" ht="6" hidden="1" customHeight="1" x14ac:dyDescent="0.2">
      <c r="A17" s="219"/>
      <c r="B17" s="229"/>
      <c r="C17" s="227"/>
      <c r="D17" s="232"/>
    </row>
    <row r="18" spans="1:4" s="181" customFormat="1" ht="12" customHeight="1" x14ac:dyDescent="0.2">
      <c r="A18" s="219"/>
      <c r="B18" s="226"/>
      <c r="C18" s="227">
        <v>7</v>
      </c>
      <c r="D18" s="231" t="s">
        <v>1527</v>
      </c>
    </row>
    <row r="19" spans="1:4" s="181" customFormat="1" hidden="1" x14ac:dyDescent="0.2">
      <c r="A19" s="219"/>
      <c r="B19" s="229"/>
      <c r="C19" s="227"/>
      <c r="D19" s="232"/>
    </row>
    <row r="20" spans="1:4" s="181" customFormat="1" x14ac:dyDescent="0.2">
      <c r="A20" s="219"/>
      <c r="B20" s="226"/>
      <c r="C20" s="227">
        <v>8</v>
      </c>
      <c r="D20" s="231" t="s">
        <v>1712</v>
      </c>
    </row>
    <row r="21" spans="1:4" s="181" customFormat="1" x14ac:dyDescent="0.2">
      <c r="A21" s="219"/>
      <c r="B21" s="229"/>
      <c r="C21" s="227"/>
      <c r="D21" s="233" t="s">
        <v>1629</v>
      </c>
    </row>
    <row r="22" spans="1:4" s="181" customFormat="1" x14ac:dyDescent="0.2">
      <c r="A22" s="219"/>
      <c r="B22" s="226"/>
      <c r="C22" s="227">
        <v>9</v>
      </c>
      <c r="D22" s="231" t="s">
        <v>1713</v>
      </c>
    </row>
    <row r="23" spans="1:4" s="181" customFormat="1" x14ac:dyDescent="0.2">
      <c r="A23" s="219"/>
      <c r="B23" s="234"/>
      <c r="C23" s="227"/>
      <c r="D23" s="235" t="s">
        <v>1630</v>
      </c>
    </row>
    <row r="24" spans="1:4" s="181" customFormat="1" x14ac:dyDescent="0.2">
      <c r="A24" s="219"/>
      <c r="B24" s="226"/>
      <c r="C24" s="227">
        <v>10</v>
      </c>
      <c r="D24" s="231" t="s">
        <v>1714</v>
      </c>
    </row>
    <row r="25" spans="1:4" s="181" customFormat="1" x14ac:dyDescent="0.2">
      <c r="A25" s="219"/>
      <c r="B25" s="226"/>
      <c r="C25" s="227">
        <v>11</v>
      </c>
      <c r="D25" s="231" t="s">
        <v>1715</v>
      </c>
    </row>
    <row r="26" spans="1:4" s="181" customFormat="1" x14ac:dyDescent="0.2">
      <c r="A26" s="219"/>
      <c r="B26" s="234"/>
      <c r="C26" s="227"/>
      <c r="D26" s="235" t="s">
        <v>1631</v>
      </c>
    </row>
    <row r="27" spans="1:4" s="181" customFormat="1" x14ac:dyDescent="0.2">
      <c r="A27" s="219"/>
      <c r="B27" s="226"/>
      <c r="C27" s="227">
        <v>12</v>
      </c>
      <c r="D27" s="231" t="s">
        <v>1633</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1716</v>
      </c>
    </row>
    <row r="31" spans="1:4" s="181" customFormat="1" x14ac:dyDescent="0.2">
      <c r="A31" s="219"/>
      <c r="B31" s="226"/>
      <c r="C31" s="227">
        <v>14</v>
      </c>
      <c r="D31" s="231" t="s">
        <v>1674</v>
      </c>
    </row>
    <row r="32" spans="1:4" s="181" customFormat="1" x14ac:dyDescent="0.2">
      <c r="A32" s="219"/>
      <c r="B32" s="236"/>
      <c r="C32" s="227"/>
      <c r="D32" s="237" t="s">
        <v>1842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1717</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1718</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1719</v>
      </c>
    </row>
    <row r="43" spans="1:9" s="181" customFormat="1" x14ac:dyDescent="0.2">
      <c r="A43" s="219"/>
      <c r="B43" s="229"/>
      <c r="C43" s="227"/>
      <c r="D43" s="240" t="s">
        <v>1720</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1723</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1531</v>
      </c>
      <c r="E53" s="248"/>
      <c r="F53" s="249"/>
      <c r="G53" s="249" t="s">
        <v>1530</v>
      </c>
      <c r="H53" s="250"/>
      <c r="I53" s="237" t="s">
        <v>1556</v>
      </c>
    </row>
    <row r="54" spans="1:10" s="181" customFormat="1" x14ac:dyDescent="0.2">
      <c r="A54" s="219"/>
      <c r="B54" s="220" t="s">
        <v>2021</v>
      </c>
      <c r="C54" s="179">
        <v>23</v>
      </c>
      <c r="D54" s="243" t="s">
        <v>1423</v>
      </c>
      <c r="E54" s="248"/>
      <c r="F54" s="249"/>
    </row>
    <row r="55" spans="1:10" s="181" customFormat="1" x14ac:dyDescent="0.2">
      <c r="A55" s="214"/>
      <c r="B55" s="251"/>
      <c r="C55" s="251"/>
      <c r="D55" s="231" t="s">
        <v>1841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2036</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1384</v>
      </c>
      <c r="B70" s="2087"/>
      <c r="C70" s="2087"/>
      <c r="D70" s="2087"/>
      <c r="E70" s="2088"/>
      <c r="F70" s="2088"/>
      <c r="G70" s="2088"/>
      <c r="H70" s="2088"/>
      <c r="I70" s="2088"/>
    </row>
    <row r="71" spans="1:10" s="181" customFormat="1" x14ac:dyDescent="0.2">
      <c r="A71" s="219"/>
      <c r="C71" s="257"/>
      <c r="D71" s="258" t="s">
        <v>1383</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2015</v>
      </c>
      <c r="B73" s="255"/>
      <c r="C73" s="256"/>
      <c r="D73" s="256"/>
      <c r="E73" s="256"/>
      <c r="F73" s="256"/>
      <c r="G73" s="256"/>
      <c r="H73" s="256"/>
    </row>
    <row r="74" spans="1:10" s="181" customFormat="1" x14ac:dyDescent="0.2">
      <c r="A74" s="259" t="s">
        <v>1491</v>
      </c>
      <c r="B74" s="255"/>
      <c r="C74" s="256"/>
      <c r="D74" s="256"/>
      <c r="E74" s="256"/>
      <c r="F74" s="256"/>
      <c r="G74" s="256"/>
      <c r="H74" s="256"/>
    </row>
    <row r="75" spans="1:10" s="181" customFormat="1" x14ac:dyDescent="0.2">
      <c r="A75" s="259" t="s">
        <v>1675</v>
      </c>
      <c r="B75" s="255"/>
      <c r="C75" s="256"/>
      <c r="D75" s="256"/>
      <c r="E75" s="256"/>
      <c r="F75" s="256"/>
      <c r="G75" s="256"/>
      <c r="H75" s="256"/>
    </row>
    <row r="76" spans="1:10" s="181" customFormat="1" ht="18.75" customHeight="1" x14ac:dyDescent="0.2">
      <c r="A76" s="239" t="s">
        <v>1492</v>
      </c>
      <c r="B76" s="255"/>
      <c r="C76" s="256"/>
      <c r="D76" s="256"/>
      <c r="E76" s="256"/>
      <c r="F76" s="256"/>
      <c r="G76" s="256"/>
      <c r="H76" s="256"/>
    </row>
    <row r="77" spans="1:10" s="181" customFormat="1" x14ac:dyDescent="0.2">
      <c r="C77" s="179">
        <v>24</v>
      </c>
      <c r="D77" s="247" t="s">
        <v>1731</v>
      </c>
      <c r="G77" s="297" t="s">
        <v>1965</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1729</v>
      </c>
      <c r="E79" s="248"/>
      <c r="F79" s="249"/>
    </row>
    <row r="80" spans="1:10" s="181" customFormat="1" x14ac:dyDescent="0.2">
      <c r="A80" s="219"/>
      <c r="B80" s="262"/>
      <c r="C80" s="179"/>
      <c r="D80" s="247" t="s">
        <v>1730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1381</v>
      </c>
      <c r="B83" s="2089"/>
      <c r="C83" s="2089"/>
      <c r="D83" s="2090"/>
      <c r="E83" s="263" t="s">
        <v>1418</v>
      </c>
      <c r="F83" s="263" t="s">
        <v>1419</v>
      </c>
      <c r="G83" s="263" t="s">
        <v>1420</v>
      </c>
      <c r="H83" s="263" t="s">
        <v>1421</v>
      </c>
      <c r="I83" s="263" t="s">
        <v>1422</v>
      </c>
      <c r="J83" s="264" t="s">
        <v>158</v>
      </c>
    </row>
    <row r="84" spans="1:10" s="181" customFormat="1" ht="13.5" customHeight="1" thickTop="1" x14ac:dyDescent="0.2">
      <c r="A84" s="265" t="s">
        <v>1513</v>
      </c>
      <c r="B84" s="266"/>
      <c r="C84" s="267"/>
      <c r="D84" s="268"/>
      <c r="E84" s="269"/>
      <c r="F84" s="269"/>
      <c r="G84" s="269"/>
      <c r="H84" s="269"/>
      <c r="I84" s="269"/>
      <c r="J84" s="270"/>
    </row>
    <row r="85" spans="1:10" s="181" customFormat="1" ht="13.5" customHeight="1" x14ac:dyDescent="0.2">
      <c r="A85" s="271" t="s">
        <v>2013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1382</v>
      </c>
      <c r="B87" s="283"/>
      <c r="C87" s="284"/>
      <c r="D87" s="281"/>
      <c r="E87" s="269"/>
      <c r="F87" s="269"/>
      <c r="G87" s="269"/>
      <c r="H87" s="269"/>
      <c r="I87" s="269"/>
      <c r="J87" s="270"/>
    </row>
    <row r="88" spans="1:10" s="181" customFormat="1" ht="13.5" customHeight="1" x14ac:dyDescent="0.2">
      <c r="A88" s="285" t="s">
        <v>2013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1724</v>
      </c>
      <c r="C92" s="179"/>
      <c r="E92" s="260"/>
      <c r="F92" s="296"/>
      <c r="H92" s="297"/>
    </row>
    <row r="93" spans="1:10" s="181" customFormat="1" ht="16.5" customHeight="1" x14ac:dyDescent="0.2">
      <c r="A93" s="219"/>
      <c r="B93" s="298" t="s">
        <v>2014</v>
      </c>
      <c r="C93" s="179"/>
      <c r="E93" s="260"/>
      <c r="F93" s="296"/>
      <c r="H93" s="297"/>
    </row>
    <row r="94" spans="1:10" s="181" customFormat="1" x14ac:dyDescent="0.2">
      <c r="A94" s="299" t="s">
        <v>1392</v>
      </c>
      <c r="B94" s="300"/>
      <c r="C94" s="300"/>
      <c r="D94" s="301"/>
      <c r="E94" s="302"/>
      <c r="F94" s="303"/>
      <c r="G94" s="304"/>
      <c r="H94" s="305"/>
      <c r="I94" s="306"/>
    </row>
    <row r="95" spans="1:10" s="181" customFormat="1" x14ac:dyDescent="0.2">
      <c r="A95" s="307"/>
      <c r="B95" s="308" t="s">
        <v>1725</v>
      </c>
      <c r="C95" s="309"/>
      <c r="D95" s="310"/>
      <c r="E95" s="304"/>
      <c r="F95" s="304"/>
      <c r="G95" s="304"/>
      <c r="H95" s="304"/>
      <c r="I95" s="304"/>
    </row>
    <row r="96" spans="1:10" s="181" customFormat="1" x14ac:dyDescent="0.2">
      <c r="A96" s="307" t="s">
        <v>1231</v>
      </c>
      <c r="B96" s="345" t="s">
        <v>1727</v>
      </c>
      <c r="C96" s="309"/>
      <c r="D96" s="311"/>
      <c r="E96" s="311"/>
      <c r="F96" s="311"/>
      <c r="G96" s="311"/>
      <c r="H96" s="311"/>
      <c r="I96" s="304"/>
    </row>
    <row r="97" spans="1:9" s="181" customFormat="1" x14ac:dyDescent="0.2">
      <c r="A97" s="307"/>
      <c r="B97" s="308" t="s">
        <v>1726</v>
      </c>
      <c r="C97" s="309"/>
      <c r="D97" s="311"/>
      <c r="E97" s="311"/>
      <c r="F97" s="311"/>
      <c r="G97" s="311"/>
      <c r="H97" s="311"/>
      <c r="I97" s="304"/>
    </row>
    <row r="98" spans="1:9" s="181" customFormat="1" x14ac:dyDescent="0.2">
      <c r="A98" s="308"/>
      <c r="B98" s="312" t="s">
        <v>1728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2026</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1391</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1966</v>
      </c>
      <c r="G119" s="328"/>
      <c r="H119" s="328"/>
      <c r="I119" s="304"/>
    </row>
    <row r="120" spans="1:9" x14ac:dyDescent="0.2">
      <c r="A120" s="329"/>
      <c r="B120" s="180"/>
      <c r="C120" s="330"/>
      <c r="D120" s="256"/>
      <c r="E120" s="256"/>
      <c r="F120" s="256"/>
      <c r="G120" s="256"/>
      <c r="H120" s="256"/>
      <c r="I120" s="304"/>
    </row>
    <row r="121" spans="1:9" x14ac:dyDescent="0.2">
      <c r="A121" s="329"/>
      <c r="B121" s="1510" t="s">
        <v>1676</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B52" sqref="B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BMP Tri County Special Ed Coop</v>
      </c>
      <c r="C1" s="2479"/>
      <c r="D1" s="2479"/>
      <c r="E1" s="2479"/>
      <c r="F1" s="2479"/>
      <c r="G1" s="2479"/>
      <c r="H1" s="2479"/>
      <c r="I1" s="2479"/>
      <c r="J1" s="1422"/>
    </row>
    <row r="2" spans="2:10" s="317" customFormat="1" ht="12.75" customHeight="1" x14ac:dyDescent="0.2">
      <c r="B2" s="2480">
        <f>'Single Audit Cover'!E7</f>
        <v>35059005061</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1226</v>
      </c>
      <c r="D11" s="2484"/>
      <c r="E11" s="1432"/>
      <c r="F11" s="1432"/>
      <c r="G11" s="1432"/>
    </row>
    <row r="12" spans="2:10" s="317" customFormat="1" ht="11.45" customHeight="1" x14ac:dyDescent="0.2">
      <c r="B12" s="1357"/>
      <c r="C12" s="1433" t="s">
        <v>1511</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2021</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1512</v>
      </c>
      <c r="C18" s="1437"/>
      <c r="D18" s="1398"/>
      <c r="E18" s="1438"/>
      <c r="F18" s="1300" t="s">
        <v>940</v>
      </c>
      <c r="G18" s="1438" t="s">
        <v>2021</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1662</v>
      </c>
      <c r="C20" s="1437"/>
      <c r="D20" s="1398"/>
      <c r="E20" s="1438"/>
      <c r="F20" s="1300" t="s">
        <v>940</v>
      </c>
      <c r="G20" s="1438" t="s">
        <v>2021</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2021</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1512</v>
      </c>
      <c r="C27" s="1437"/>
      <c r="D27" s="1398"/>
      <c r="E27" s="1438"/>
      <c r="F27" s="1300" t="s">
        <v>940</v>
      </c>
      <c r="G27" s="1438" t="s">
        <v>2021</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2073</v>
      </c>
      <c r="E29" s="2485"/>
      <c r="F29" s="2485"/>
      <c r="G29" s="2485"/>
      <c r="H29" s="2485"/>
      <c r="I29" s="2485"/>
    </row>
    <row r="30" spans="2:9" s="317" customFormat="1" x14ac:dyDescent="0.2">
      <c r="B30" s="1368"/>
      <c r="C30" s="322"/>
      <c r="D30" s="1433" t="s">
        <v>1511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1626</v>
      </c>
      <c r="C33" s="1282"/>
      <c r="E33" s="1438"/>
      <c r="F33" s="1300" t="s">
        <v>940</v>
      </c>
      <c r="G33" s="1438" t="s">
        <v>2021</v>
      </c>
      <c r="H33" s="1300" t="s">
        <v>101</v>
      </c>
    </row>
    <row r="35" spans="2:9" x14ac:dyDescent="0.2">
      <c r="B35" s="1441" t="s">
        <v>2088</v>
      </c>
      <c r="C35" s="1442"/>
      <c r="D35" s="1267"/>
    </row>
    <row r="36" spans="2:9" ht="6" customHeight="1" x14ac:dyDescent="0.2">
      <c r="B36" s="1441"/>
      <c r="C36" s="1442"/>
      <c r="D36" s="1267"/>
    </row>
    <row r="37" spans="2:9" ht="17.25" customHeight="1" x14ac:dyDescent="0.2">
      <c r="B37" s="1443" t="s">
        <v>2089</v>
      </c>
      <c r="C37" s="2486" t="s">
        <v>2090</v>
      </c>
      <c r="D37" s="2487"/>
      <c r="E37" s="2487"/>
      <c r="F37" s="2488"/>
      <c r="G37" s="2486" t="s">
        <v>1663</v>
      </c>
      <c r="H37" s="2487"/>
      <c r="I37" s="2488"/>
    </row>
    <row r="38" spans="2:9" ht="16.5" customHeight="1" x14ac:dyDescent="0.2">
      <c r="B38" s="1444" t="s">
        <v>2074</v>
      </c>
      <c r="C38" s="2474" t="s">
        <v>2075</v>
      </c>
      <c r="D38" s="2475"/>
      <c r="E38" s="2475"/>
      <c r="F38" s="2476"/>
      <c r="G38" s="2489">
        <v>1567783</v>
      </c>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1664</v>
      </c>
      <c r="D43" s="2468"/>
      <c r="E43" s="2468"/>
      <c r="F43" s="2469"/>
      <c r="G43" s="2470">
        <f>SUM(G38:I42)</f>
        <v>1567783</v>
      </c>
      <c r="H43" s="2470"/>
      <c r="I43" s="2470"/>
    </row>
    <row r="44" spans="2:9" ht="12.75" customHeight="1" x14ac:dyDescent="0.2"/>
    <row r="45" spans="2:9" ht="12.75" customHeight="1" x14ac:dyDescent="0.2">
      <c r="B45" s="1435" t="s">
        <v>1898</v>
      </c>
      <c r="D45" s="2471">
        <v>1657056</v>
      </c>
      <c r="E45" s="2472"/>
    </row>
    <row r="46" spans="2:9" ht="5.25" customHeight="1" x14ac:dyDescent="0.2">
      <c r="B46" s="1445"/>
      <c r="D46" s="1446"/>
      <c r="E46" s="1447"/>
    </row>
    <row r="47" spans="2:9" ht="12.75" customHeight="1" x14ac:dyDescent="0.2">
      <c r="B47" s="1300" t="s">
        <v>1665</v>
      </c>
      <c r="C47" s="1300"/>
      <c r="D47" s="1448">
        <f>+G43/D45</f>
        <v>0.94612553830407664</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c r="F51" s="1300" t="s">
        <v>940</v>
      </c>
      <c r="G51" s="1438" t="s">
        <v>2021</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x14ac:dyDescent="0.2">
      <c r="A54" s="1458"/>
      <c r="B54" s="1459"/>
      <c r="C54" s="1460"/>
      <c r="D54" s="1460"/>
    </row>
    <row r="55" spans="1:9" s="1461" customFormat="1" ht="12.75" customHeight="1" x14ac:dyDescent="0.2">
      <c r="A55" s="1458"/>
      <c r="B55" s="1462"/>
      <c r="C55" s="1458"/>
      <c r="D55" s="1458"/>
    </row>
    <row r="56" spans="1:9" s="1461" customFormat="1" ht="12.75" customHeight="1" x14ac:dyDescent="0.2">
      <c r="A56" s="1458"/>
      <c r="B56" s="1462"/>
      <c r="C56" s="1458"/>
      <c r="D56" s="1458"/>
    </row>
    <row r="57" spans="1:9" s="1461" customFormat="1" ht="3.95" customHeight="1" x14ac:dyDescent="0.2">
      <c r="A57" s="1458"/>
      <c r="B57" s="1462"/>
      <c r="C57" s="1458"/>
      <c r="D57" s="1458"/>
    </row>
    <row r="58" spans="1:9" s="1461" customFormat="1" ht="13.5" customHeight="1" x14ac:dyDescent="0.2">
      <c r="A58" s="1458"/>
      <c r="B58" s="1463"/>
      <c r="C58" s="1464"/>
      <c r="D58" s="1464"/>
    </row>
    <row r="59" spans="1:9" s="1461" customFormat="1" ht="3.95" customHeight="1" x14ac:dyDescent="0.2">
      <c r="A59" s="1458"/>
      <c r="B59" s="1463"/>
      <c r="C59" s="1464"/>
      <c r="D59" s="1464"/>
    </row>
    <row r="60" spans="1:9" s="1461" customFormat="1" ht="13.5" customHeight="1" x14ac:dyDescent="0.2">
      <c r="A60" s="1458"/>
      <c r="B60" s="1463"/>
      <c r="C60" s="1464"/>
      <c r="D60" s="1464"/>
    </row>
    <row r="61" spans="1:9" s="1461" customFormat="1" ht="3.95" customHeight="1" x14ac:dyDescent="0.2">
      <c r="A61" s="1458"/>
      <c r="B61" s="1463"/>
      <c r="C61" s="1464"/>
      <c r="D61" s="1464"/>
    </row>
    <row r="62" spans="1:9" s="1461" customFormat="1" ht="12.75" customHeight="1" x14ac:dyDescent="0.2">
      <c r="A62" s="1458"/>
      <c r="B62" s="1463"/>
      <c r="C62" s="1464"/>
      <c r="D62" s="1464"/>
    </row>
    <row r="63" spans="1:9" s="1461" customFormat="1" ht="13.5" customHeight="1" x14ac:dyDescent="0.2">
      <c r="A63" s="1458"/>
      <c r="B63" s="1462"/>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Footer>&amp;C59</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5" sqref="B35:B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BMP Tri County Special Ed Coop</v>
      </c>
      <c r="C1" s="2478"/>
      <c r="D1" s="2478"/>
      <c r="E1" s="2478"/>
      <c r="F1" s="2478"/>
      <c r="G1" s="2478"/>
      <c r="H1" s="2478"/>
      <c r="I1" s="2478"/>
      <c r="J1" s="2478"/>
      <c r="K1" s="2478"/>
      <c r="L1" s="1374"/>
      <c r="M1" s="1374"/>
    </row>
    <row r="2" spans="1:13" ht="12" customHeight="1" x14ac:dyDescent="0.2">
      <c r="B2" s="2480">
        <f>'Single Audit Cover'!E7</f>
        <v>35059005061</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1362</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2085</v>
      </c>
      <c r="C10" s="1385" t="s">
        <v>1899</v>
      </c>
      <c r="D10" s="1386" t="s">
        <v>2076</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2086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2087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c r="C35" s="1419"/>
      <c r="D35" s="322"/>
      <c r="E35" s="322"/>
      <c r="F35" s="322"/>
      <c r="L35" s="1381"/>
    </row>
    <row r="36" spans="1:13" ht="9.6" customHeight="1" x14ac:dyDescent="0.2">
      <c r="B36" s="1300"/>
      <c r="C36" s="1300"/>
      <c r="L36" s="1381"/>
    </row>
    <row r="37" spans="1:13" ht="9.6" customHeight="1" x14ac:dyDescent="0.2">
      <c r="B37" s="1300"/>
      <c r="C37" s="1300"/>
    </row>
    <row r="38" spans="1:13" ht="11.85" customHeight="1" x14ac:dyDescent="0.2">
      <c r="B38" s="1420"/>
      <c r="C38" s="1420"/>
    </row>
    <row r="39" spans="1:13" ht="9.6" customHeight="1" x14ac:dyDescent="0.2">
      <c r="B39" s="1300"/>
      <c r="C39" s="1300"/>
      <c r="M39" s="1421"/>
    </row>
    <row r="40" spans="1:13" ht="12.6" customHeight="1" x14ac:dyDescent="0.2">
      <c r="B40" s="1420"/>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&amp;C60</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48" sqref="B48:B5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BMP Tri County Special Ed Coop</v>
      </c>
      <c r="C1" s="2501"/>
      <c r="D1" s="2501"/>
      <c r="E1" s="2501"/>
      <c r="F1" s="2501"/>
      <c r="G1" s="2501"/>
      <c r="H1" s="2501"/>
      <c r="I1" s="2501"/>
      <c r="J1" s="2501"/>
      <c r="K1" s="2501"/>
      <c r="L1" s="1465"/>
    </row>
    <row r="2" spans="1:12" ht="12.75" customHeight="1" x14ac:dyDescent="0.2">
      <c r="B2" s="2502">
        <f>'Single Audit Cover'!E7</f>
        <v>35059005061</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2080</v>
      </c>
      <c r="C8" s="1467" t="s">
        <v>1899</v>
      </c>
      <c r="D8" s="1468" t="s">
        <v>2076</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8"/>
      <c r="E14" s="2498"/>
      <c r="F14" s="2498"/>
      <c r="H14" s="1475" t="s">
        <v>1369</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9"/>
      <c r="E16" s="2499"/>
      <c r="F16" s="2499"/>
      <c r="G16" s="2499"/>
      <c r="H16" s="2499"/>
      <c r="I16" s="2499"/>
      <c r="J16" s="2499"/>
      <c r="K16" s="2499"/>
      <c r="L16" s="322"/>
    </row>
    <row r="17" spans="2:12" ht="13.5" customHeight="1" x14ac:dyDescent="0.2">
      <c r="B17" s="1387" t="s">
        <v>1367</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2081</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2082</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2083</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2084</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c r="C48" s="1419"/>
      <c r="D48" s="322"/>
      <c r="E48" s="322"/>
      <c r="F48" s="322"/>
    </row>
    <row r="49" spans="2:3" s="317" customFormat="1" ht="10.5" customHeight="1" x14ac:dyDescent="0.2">
      <c r="B49" s="1420"/>
      <c r="C49" s="1420"/>
    </row>
    <row r="50" spans="2:3" s="317" customFormat="1" ht="11.1" customHeight="1" x14ac:dyDescent="0.2">
      <c r="B50" s="1420"/>
      <c r="C50" s="1420"/>
    </row>
    <row r="51" spans="2:3" s="317" customFormat="1" ht="11.1" customHeight="1" x14ac:dyDescent="0.2">
      <c r="B51" s="1420"/>
      <c r="C51" s="1420"/>
    </row>
    <row r="52" spans="2:3" s="317" customFormat="1" ht="11.1" customHeight="1" x14ac:dyDescent="0.2">
      <c r="B52" s="1420"/>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&amp;C61</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4" sqref="B4:D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BMP Tri County Special Ed Coop</v>
      </c>
      <c r="C1" s="2478"/>
      <c r="D1" s="2478"/>
      <c r="E1" s="1491"/>
    </row>
    <row r="2" spans="2:5" s="1282" customFormat="1" ht="12.75" customHeight="1" x14ac:dyDescent="0.2">
      <c r="B2" s="2480">
        <f>'Single Audit Cover'!E7</f>
        <v>35059005061</v>
      </c>
      <c r="C2" s="2480"/>
      <c r="D2" s="2480"/>
      <c r="E2" s="1492"/>
    </row>
    <row r="3" spans="2:5" ht="12.75" customHeight="1" x14ac:dyDescent="0.2">
      <c r="B3" s="2494" t="s">
        <v>2079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1819</v>
      </c>
      <c r="C5" s="328"/>
      <c r="D5" s="328"/>
      <c r="E5" s="328"/>
    </row>
    <row r="6" spans="2:5" s="1282" customFormat="1" ht="13.5" customHeight="1" x14ac:dyDescent="0.2">
      <c r="B6" s="1495" t="s">
        <v>1376</v>
      </c>
      <c r="C6" s="1495" t="s">
        <v>1375</v>
      </c>
      <c r="D6" s="1495" t="s">
        <v>2078</v>
      </c>
    </row>
    <row r="7" spans="2:5" ht="13.5" customHeight="1" x14ac:dyDescent="0.2">
      <c r="B7" s="1496" t="s">
        <v>2077</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c r="C44" s="322"/>
    </row>
    <row r="45" spans="2:5" ht="12.2" customHeight="1" x14ac:dyDescent="0.2">
      <c r="B45" s="1505"/>
    </row>
    <row r="46" spans="2:5" ht="12.2" customHeight="1" x14ac:dyDescent="0.2">
      <c r="B46" s="1505"/>
    </row>
    <row r="47" spans="2:5" ht="12.2" customHeight="1" x14ac:dyDescent="0.2">
      <c r="B47" s="1506"/>
    </row>
    <row r="48" spans="2:5" ht="12.2" customHeight="1" x14ac:dyDescent="0.2">
      <c r="B48" s="1506"/>
    </row>
    <row r="49" spans="2:5" ht="12.2" customHeight="1" x14ac:dyDescent="0.2">
      <c r="B49" s="1506"/>
    </row>
    <row r="50" spans="2:5" ht="12.2" customHeight="1" x14ac:dyDescent="0.2">
      <c r="B50" s="1506"/>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&amp;C62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1732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1733</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1734</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3019856</v>
      </c>
      <c r="E16" s="356"/>
      <c r="F16" s="1755">
        <f>SUM('Acct Summary 7-8'!C17,'Acct Summary 7-8'!D17,'Acct Summary 7-8'!F17)</f>
        <v>2863674</v>
      </c>
      <c r="G16" s="356"/>
      <c r="H16" s="1755">
        <f>SUM(D16-F16)</f>
        <v>156182</v>
      </c>
      <c r="I16" s="222"/>
      <c r="J16" s="1755">
        <f>SUM('Acct Summary 7-8'!C81,'Acct Summary 7-8'!D81,'Acct Summary 7-8'!F81,'Acct Summary 7-8'!I81)</f>
        <v>197061</v>
      </c>
      <c r="K16" s="222"/>
      <c r="L16" s="222"/>
      <c r="M16" s="222"/>
    </row>
    <row r="17" spans="1:13" ht="12.2" customHeight="1" x14ac:dyDescent="0.2">
      <c r="A17" s="349"/>
      <c r="B17" s="260" t="s">
        <v>8</v>
      </c>
      <c r="C17" s="237" t="s">
        <v>1457</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1735</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1474</v>
      </c>
      <c r="B3" s="2120"/>
      <c r="C3" s="2120"/>
      <c r="D3" s="2120"/>
      <c r="E3" s="2120"/>
      <c r="F3" s="2120"/>
      <c r="G3" s="2120"/>
      <c r="H3" s="2120"/>
      <c r="I3" s="2120"/>
      <c r="J3" s="2120"/>
      <c r="K3" s="2120"/>
      <c r="L3" s="2120"/>
      <c r="M3" s="2120"/>
      <c r="N3" s="2120"/>
      <c r="O3" s="2120"/>
      <c r="P3" s="2120"/>
      <c r="Q3" s="2120"/>
      <c r="R3" s="2120"/>
    </row>
    <row r="4" spans="1:18" x14ac:dyDescent="0.2">
      <c r="A4" s="2121" t="s">
        <v>1628</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BMP Tri County Special Ed Coop</v>
      </c>
      <c r="E7" s="391"/>
      <c r="G7" s="252"/>
      <c r="H7" s="387"/>
      <c r="I7" s="387"/>
      <c r="J7" s="387"/>
      <c r="K7" s="387"/>
      <c r="L7" s="329"/>
      <c r="M7" s="329"/>
      <c r="N7" s="329"/>
      <c r="O7" s="329"/>
      <c r="P7" s="329"/>
    </row>
    <row r="8" spans="1:18" ht="12.75" x14ac:dyDescent="0.2">
      <c r="A8" s="329"/>
      <c r="B8" s="329"/>
      <c r="C8" s="389" t="s">
        <v>1187</v>
      </c>
      <c r="D8" s="392">
        <f>COVER!A13</f>
        <v>35059005061</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1426</v>
      </c>
      <c r="D12" s="218"/>
      <c r="E12" s="218"/>
      <c r="F12" s="218" t="s">
        <v>1152</v>
      </c>
      <c r="G12" s="402"/>
      <c r="H12" s="403">
        <f>SUM('Acct Summary 7-8'!C81+'Acct Summary 7-8'!D81+'Acct Summary 7-8'!F81+'Acct Summary 7-8'!I81+IF('Acct Summary 7-8'!G81&lt;0,'Acct Summary 7-8'!G81,"0")+IF('Acct Summary 7-8'!J81&lt;0,'Acct Summary 7-8'!J81,"0"))</f>
        <v>197061</v>
      </c>
      <c r="I12" s="404"/>
      <c r="J12" s="404"/>
      <c r="K12" s="405">
        <f>TRUNC((H12/H13*100000),5)/100000</f>
        <v>6.52550982E-2</v>
      </c>
      <c r="L12" s="406"/>
      <c r="M12" s="360" t="s">
        <v>1206</v>
      </c>
      <c r="N12" s="360"/>
      <c r="O12" s="407">
        <v>0.35</v>
      </c>
      <c r="P12" s="218"/>
      <c r="Q12" s="218"/>
    </row>
    <row r="13" spans="1:18" s="408" customFormat="1" ht="12.75" x14ac:dyDescent="0.2">
      <c r="A13" s="218"/>
      <c r="B13" s="401"/>
      <c r="C13" s="2117" t="s">
        <v>1385</v>
      </c>
      <c r="D13" s="2118"/>
      <c r="E13" s="218"/>
      <c r="F13" s="409" t="s">
        <v>826</v>
      </c>
      <c r="G13" s="402"/>
      <c r="H13" s="403">
        <f>SUM('Acct Summary 7-8'!C8+'Acct Summary 7-8'!D8+'Acct Summary 7-8'!F8+'Acct Summary 7-8'!I8)+H14</f>
        <v>3019856</v>
      </c>
      <c r="I13" s="404"/>
      <c r="J13" s="404"/>
      <c r="K13" s="410"/>
      <c r="L13" s="218"/>
      <c r="M13" s="360" t="s">
        <v>1207</v>
      </c>
      <c r="N13" s="360"/>
      <c r="O13" s="411">
        <f>(O11*O12)</f>
        <v>0.7</v>
      </c>
      <c r="P13" s="218"/>
      <c r="Q13" s="218"/>
      <c r="R13" s="412"/>
    </row>
    <row r="14" spans="1:18" s="408" customFormat="1" ht="12.75" x14ac:dyDescent="0.2">
      <c r="A14" s="218"/>
      <c r="B14" s="401"/>
      <c r="C14" s="240" t="s">
        <v>1458</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1472</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2863674</v>
      </c>
      <c r="I17" s="404"/>
      <c r="J17" s="416"/>
      <c r="K17" s="405">
        <f>TRUNC((H17/H18*100000),5)/100000</f>
        <v>0.94828163990000003</v>
      </c>
      <c r="L17" s="406"/>
      <c r="M17" s="417" t="s">
        <v>1233</v>
      </c>
      <c r="O17" s="418" t="str">
        <f>IF(AND(O16="2", J20 &gt; 2),"1",IF(AND(O16 = "1", J20 &gt; 2),"2",IF(AND(O16="1", J20 &gt;1),"1","0")))</f>
        <v>0</v>
      </c>
      <c r="P17" s="218"/>
    </row>
    <row r="18" spans="1:18" s="408" customFormat="1" ht="11.25" x14ac:dyDescent="0.2">
      <c r="A18" s="218"/>
      <c r="B18" s="401"/>
      <c r="C18" s="2117" t="s">
        <v>1378</v>
      </c>
      <c r="D18" s="2118"/>
      <c r="E18" s="218"/>
      <c r="F18" s="419" t="s">
        <v>827</v>
      </c>
      <c r="G18" s="402"/>
      <c r="H18" s="403">
        <f>SUM('Acct Summary 7-8'!C8+'Acct Summary 7-8'!D8+'Acct Summary 7-8'!F8+'Acct Summary 7-8'!I8)+H19</f>
        <v>3019856</v>
      </c>
      <c r="I18" s="404"/>
      <c r="J18" s="404"/>
      <c r="K18" s="410"/>
      <c r="L18" s="218"/>
      <c r="M18" s="360" t="s">
        <v>1206</v>
      </c>
      <c r="N18" s="360"/>
      <c r="O18" s="410">
        <v>0.35</v>
      </c>
      <c r="P18" s="218"/>
    </row>
    <row r="19" spans="1:18" s="408" customFormat="1" ht="11.25" x14ac:dyDescent="0.2">
      <c r="A19" s="218"/>
      <c r="B19" s="401"/>
      <c r="C19" s="240" t="s">
        <v>1458</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1472</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4" t="s">
        <v>1473</v>
      </c>
      <c r="D24" s="2114"/>
      <c r="E24" s="218"/>
      <c r="F24" s="218" t="s">
        <v>465</v>
      </c>
      <c r="G24" s="402"/>
      <c r="H24" s="403">
        <f>SUM('Assets-Liab 5-6'!C4+'Assets-Liab 5-6'!D4+'Assets-Liab 5-6'!F4+'Assets-Liab 5-6'!I4+'Assets-Liab 5-6'!C5+'Assets-Liab 5-6'!D5+'Assets-Liab 5-6'!F5+'Assets-Liab 5-6'!I5)</f>
        <v>197061</v>
      </c>
      <c r="I24" s="422"/>
      <c r="J24" s="422"/>
      <c r="K24" s="423">
        <f>TRUNC(((H24/H25*100000)/100000),2)</f>
        <v>24.77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7954.65</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2016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1677</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1580</v>
      </c>
      <c r="I40" s="408"/>
      <c r="J40" s="408"/>
      <c r="K40" s="410"/>
      <c r="L40" s="408"/>
      <c r="M40" s="408"/>
      <c r="N40" s="408"/>
      <c r="O40" s="218"/>
      <c r="P40" s="216"/>
      <c r="Q40" s="216"/>
    </row>
    <row r="41" spans="1:17" x14ac:dyDescent="0.2">
      <c r="G41" s="448"/>
      <c r="H41" s="218" t="s">
        <v>1581</v>
      </c>
      <c r="M41" s="216"/>
      <c r="O41" s="216"/>
      <c r="P41" s="216"/>
      <c r="Q41" s="216"/>
    </row>
    <row r="42" spans="1:17" x14ac:dyDescent="0.2">
      <c r="A42" s="385" t="s">
        <v>1582</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1568</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1736</v>
      </c>
      <c r="B4" s="464"/>
      <c r="C4" s="465">
        <f>194171+2870+20</f>
        <v>197061</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197061</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1462</v>
      </c>
      <c r="B15" s="483">
        <v>210</v>
      </c>
      <c r="C15" s="477"/>
      <c r="D15" s="477"/>
      <c r="E15" s="477"/>
      <c r="F15" s="477"/>
      <c r="G15" s="477"/>
      <c r="H15" s="477"/>
      <c r="I15" s="477"/>
      <c r="J15" s="477"/>
      <c r="K15" s="477"/>
      <c r="L15" s="477"/>
      <c r="M15" s="478"/>
      <c r="N15" s="484"/>
    </row>
    <row r="16" spans="1:14" s="485" customFormat="1" ht="12.75" customHeight="1" x14ac:dyDescent="0.2">
      <c r="A16" s="482" t="s">
        <v>1463</v>
      </c>
      <c r="B16" s="483">
        <v>220</v>
      </c>
      <c r="C16" s="477"/>
      <c r="D16" s="477"/>
      <c r="E16" s="477"/>
      <c r="F16" s="477"/>
      <c r="G16" s="477"/>
      <c r="H16" s="477"/>
      <c r="I16" s="477"/>
      <c r="J16" s="477"/>
      <c r="K16" s="477"/>
      <c r="L16" s="477"/>
      <c r="M16" s="467"/>
      <c r="N16" s="484"/>
    </row>
    <row r="17" spans="1:14" s="485" customFormat="1" ht="12.75" customHeight="1" x14ac:dyDescent="0.2">
      <c r="A17" s="482" t="s">
        <v>1464</v>
      </c>
      <c r="B17" s="483">
        <v>230</v>
      </c>
      <c r="C17" s="477"/>
      <c r="D17" s="477"/>
      <c r="E17" s="477"/>
      <c r="F17" s="477"/>
      <c r="G17" s="477"/>
      <c r="H17" s="477"/>
      <c r="I17" s="477"/>
      <c r="J17" s="477"/>
      <c r="K17" s="477"/>
      <c r="L17" s="477"/>
      <c r="M17" s="467"/>
      <c r="N17" s="484"/>
    </row>
    <row r="18" spans="1:14" s="485" customFormat="1" ht="12.75" customHeight="1" x14ac:dyDescent="0.2">
      <c r="A18" s="482" t="s">
        <v>1465</v>
      </c>
      <c r="B18" s="483">
        <v>240</v>
      </c>
      <c r="C18" s="477"/>
      <c r="D18" s="477"/>
      <c r="E18" s="477"/>
      <c r="F18" s="477"/>
      <c r="G18" s="477"/>
      <c r="H18" s="477"/>
      <c r="I18" s="477"/>
      <c r="J18" s="477"/>
      <c r="K18" s="477"/>
      <c r="L18" s="477"/>
      <c r="M18" s="467">
        <v>19827</v>
      </c>
      <c r="N18" s="484"/>
    </row>
    <row r="19" spans="1:14" s="485" customFormat="1" ht="12.75" customHeight="1" x14ac:dyDescent="0.2">
      <c r="A19" s="482" t="s">
        <v>1466</v>
      </c>
      <c r="B19" s="483">
        <v>250</v>
      </c>
      <c r="C19" s="477"/>
      <c r="D19" s="477"/>
      <c r="E19" s="477"/>
      <c r="F19" s="477"/>
      <c r="G19" s="477"/>
      <c r="H19" s="477"/>
      <c r="I19" s="477"/>
      <c r="J19" s="477"/>
      <c r="K19" s="477"/>
      <c r="L19" s="477"/>
      <c r="M19" s="467">
        <f>198749+5000</f>
        <v>203749</v>
      </c>
      <c r="N19" s="484"/>
    </row>
    <row r="20" spans="1:14" s="485" customFormat="1" ht="12.75" customHeight="1" x14ac:dyDescent="0.2">
      <c r="A20" s="482" t="s">
        <v>1467</v>
      </c>
      <c r="B20" s="483">
        <v>260</v>
      </c>
      <c r="C20" s="477"/>
      <c r="D20" s="477"/>
      <c r="E20" s="477"/>
      <c r="F20" s="477"/>
      <c r="G20" s="477"/>
      <c r="H20" s="477"/>
      <c r="I20" s="477"/>
      <c r="J20" s="477"/>
      <c r="K20" s="477"/>
      <c r="L20" s="477"/>
      <c r="M20" s="467"/>
      <c r="N20" s="484"/>
    </row>
    <row r="21" spans="1:14" s="485" customFormat="1" ht="12.75" customHeight="1" x14ac:dyDescent="0.2">
      <c r="A21" s="482" t="s">
        <v>1468</v>
      </c>
      <c r="B21" s="483">
        <v>340</v>
      </c>
      <c r="C21" s="477"/>
      <c r="D21" s="477"/>
      <c r="E21" s="477"/>
      <c r="F21" s="477"/>
      <c r="G21" s="477"/>
      <c r="H21" s="477"/>
      <c r="I21" s="477"/>
      <c r="J21" s="477"/>
      <c r="K21" s="477"/>
      <c r="L21" s="477"/>
      <c r="M21" s="486"/>
      <c r="N21" s="467"/>
    </row>
    <row r="22" spans="1:14" s="485" customFormat="1" ht="12.75" customHeight="1" x14ac:dyDescent="0.2">
      <c r="A22" s="482" t="s">
        <v>1469</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223576</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197061</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223576</v>
      </c>
      <c r="N40" s="497"/>
    </row>
    <row r="41" spans="1:14" ht="13.5" customHeight="1" thickBot="1" x14ac:dyDescent="0.25">
      <c r="A41" s="1758" t="s">
        <v>676</v>
      </c>
      <c r="B41" s="1728"/>
      <c r="C41" s="1710">
        <f>(SUM(C34,C37,C38,C39))</f>
        <v>197061</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223576</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1737</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2156" t="s">
        <v>1573</v>
      </c>
      <c r="B4" s="2157"/>
      <c r="C4" s="1764">
        <f>'Revenues 9-14'!C109</f>
        <v>825248</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1574</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1575</v>
      </c>
      <c r="B6" s="1600">
        <v>3000</v>
      </c>
      <c r="C6" s="1765">
        <f>'Revenues 9-14'!C173</f>
        <v>390555</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1576</v>
      </c>
      <c r="B7" s="1600">
        <v>4000</v>
      </c>
      <c r="C7" s="1765">
        <f>'Revenues 9-14'!C274</f>
        <v>1804053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3019856</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1738</v>
      </c>
      <c r="B9" s="515">
        <v>3998</v>
      </c>
      <c r="C9" s="481">
        <f>-1024229+20023</f>
        <v>-1004206</v>
      </c>
      <c r="D9" s="516"/>
      <c r="E9" s="481"/>
      <c r="F9" s="481"/>
      <c r="G9" s="517"/>
      <c r="H9" s="481"/>
      <c r="I9" s="509" t="s">
        <v>1231</v>
      </c>
      <c r="J9" s="478"/>
      <c r="K9" s="481"/>
      <c r="L9" s="347"/>
    </row>
    <row r="10" spans="1:13" s="519" customFormat="1" ht="13.5" thickBot="1" x14ac:dyDescent="0.25">
      <c r="A10" s="1758" t="s">
        <v>1235</v>
      </c>
      <c r="B10" s="1731"/>
      <c r="C10" s="1710">
        <f>SUM(C8:C9)</f>
        <v>2015650</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19801</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2830287</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13586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2863674</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1739</v>
      </c>
      <c r="B18" s="1767">
        <v>4180</v>
      </c>
      <c r="C18" s="1764">
        <f t="shared" ref="C18:H18" si="3">C9</f>
        <v>-1004206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1859468</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4" t="s">
        <v>1740</v>
      </c>
      <c r="B20" s="2145"/>
      <c r="C20" s="1768">
        <f>C8-C17</f>
        <v>156182</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1741</v>
      </c>
      <c r="B24" s="525">
        <v>7110</v>
      </c>
      <c r="C24" s="467"/>
      <c r="D24" s="477"/>
      <c r="E24" s="477"/>
      <c r="F24" s="477"/>
      <c r="G24" s="477"/>
      <c r="H24" s="477"/>
      <c r="I24" s="477"/>
      <c r="J24" s="477"/>
      <c r="K24" s="477"/>
      <c r="L24" s="524"/>
    </row>
    <row r="25" spans="1:12" s="485" customFormat="1" ht="13.5" customHeight="1" x14ac:dyDescent="0.2">
      <c r="A25" s="1511" t="s">
        <v>1742</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1459</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1843</v>
      </c>
      <c r="B30" s="527">
        <v>7160</v>
      </c>
      <c r="C30" s="477"/>
      <c r="D30" s="467"/>
      <c r="E30" s="477"/>
      <c r="F30" s="477"/>
      <c r="G30" s="477"/>
      <c r="H30" s="477"/>
      <c r="I30" s="477"/>
      <c r="J30" s="477"/>
      <c r="K30" s="477"/>
      <c r="L30" s="524"/>
    </row>
    <row r="31" spans="1:12" s="485" customFormat="1" ht="26.25" x14ac:dyDescent="0.2">
      <c r="A31" s="1511" t="s">
        <v>1847</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1743</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32" t="s">
        <v>111</v>
      </c>
      <c r="B46" s="2133"/>
      <c r="C46" s="477"/>
      <c r="D46" s="477"/>
      <c r="E46" s="477"/>
      <c r="F46" s="477"/>
      <c r="G46" s="477"/>
      <c r="H46" s="477"/>
      <c r="I46" s="480"/>
      <c r="J46" s="477"/>
      <c r="K46" s="477"/>
      <c r="L46" s="529"/>
    </row>
    <row r="47" spans="1:12" s="485" customFormat="1" ht="15" x14ac:dyDescent="0.2">
      <c r="A47" s="1512" t="s">
        <v>1744</v>
      </c>
      <c r="B47" s="483">
        <v>8110</v>
      </c>
      <c r="C47" s="477"/>
      <c r="D47" s="477"/>
      <c r="E47" s="477"/>
      <c r="F47" s="477"/>
      <c r="G47" s="477"/>
      <c r="H47" s="477"/>
      <c r="I47" s="1765">
        <f>SUM(C24,C25:H25,J25:K25)</f>
        <v>0</v>
      </c>
      <c r="J47" s="477"/>
      <c r="K47" s="477"/>
      <c r="L47" s="529"/>
    </row>
    <row r="48" spans="1:12" s="485" customFormat="1" ht="15" x14ac:dyDescent="0.2">
      <c r="A48" s="1512" t="s">
        <v>1745</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1459</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1846</v>
      </c>
      <c r="B52" s="483">
        <v>8160</v>
      </c>
      <c r="C52" s="477"/>
      <c r="D52" s="477"/>
      <c r="E52" s="477"/>
      <c r="F52" s="477"/>
      <c r="G52" s="477"/>
      <c r="H52" s="477"/>
      <c r="I52" s="477"/>
      <c r="J52" s="477"/>
      <c r="K52" s="1765">
        <f>D30</f>
        <v>0</v>
      </c>
      <c r="L52" s="524"/>
    </row>
    <row r="53" spans="1:12" s="485" customFormat="1" ht="26.25" x14ac:dyDescent="0.2">
      <c r="A53" s="1512" t="s">
        <v>1845</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156182</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2017</v>
      </c>
      <c r="B79" s="534"/>
      <c r="C79" s="478">
        <v>40879</v>
      </c>
      <c r="D79" s="535"/>
      <c r="E79" s="535"/>
      <c r="F79" s="535"/>
      <c r="G79" s="535"/>
      <c r="H79" s="535"/>
      <c r="I79" s="535"/>
      <c r="J79" s="535"/>
      <c r="K79" s="535"/>
      <c r="L79" s="347"/>
    </row>
    <row r="80" spans="1:12" x14ac:dyDescent="0.2">
      <c r="A80" s="2146" t="s">
        <v>1844</v>
      </c>
      <c r="B80" s="2147"/>
      <c r="C80" s="467"/>
      <c r="D80" s="467"/>
      <c r="E80" s="467"/>
      <c r="F80" s="467"/>
      <c r="G80" s="467"/>
      <c r="H80" s="467"/>
      <c r="I80" s="467"/>
      <c r="J80" s="467"/>
      <c r="K80" s="467"/>
      <c r="L80" s="347"/>
    </row>
    <row r="81" spans="1:12" ht="13.5" thickBot="1" x14ac:dyDescent="0.25">
      <c r="A81" s="2138" t="s">
        <v>2018</v>
      </c>
      <c r="B81" s="2139"/>
      <c r="C81" s="1710">
        <f>(SUM(C78:C80))</f>
        <v>197061</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156182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0.79255661952390377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43" activePane="bottomLeft" state="frozen"/>
      <selection activeCell="A47" sqref="A47"/>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1851</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1746</v>
      </c>
      <c r="B5" s="547"/>
      <c r="C5" s="481"/>
      <c r="D5" s="481"/>
      <c r="E5" s="466"/>
      <c r="F5" s="548"/>
      <c r="G5" s="466"/>
      <c r="H5" s="466"/>
      <c r="I5" s="466"/>
      <c r="J5" s="467"/>
      <c r="K5" s="466"/>
    </row>
    <row r="6" spans="1:12" ht="15" x14ac:dyDescent="0.2">
      <c r="A6" s="463" t="s">
        <v>1747</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1748</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778+56</f>
        <v>834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834</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15948</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807424</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1499</v>
      </c>
      <c r="B106" s="470">
        <v>1993</v>
      </c>
      <c r="C106" s="466"/>
      <c r="D106" s="489"/>
      <c r="E106" s="467"/>
      <c r="F106" s="467"/>
      <c r="G106" s="467"/>
      <c r="H106" s="467"/>
      <c r="I106" s="521"/>
      <c r="J106" s="467"/>
      <c r="K106" s="467"/>
    </row>
    <row r="107" spans="1:12" ht="12.75" customHeight="1" x14ac:dyDescent="0.2">
      <c r="A107" s="463" t="s">
        <v>80</v>
      </c>
      <c r="B107" s="470">
        <v>1999</v>
      </c>
      <c r="C107" s="551">
        <v>1042</v>
      </c>
      <c r="D107" s="466"/>
      <c r="E107" s="466"/>
      <c r="F107" s="466"/>
      <c r="G107" s="466"/>
      <c r="H107" s="466"/>
      <c r="I107" s="466"/>
      <c r="J107" s="467"/>
      <c r="K107" s="466"/>
    </row>
    <row r="108" spans="1:12" ht="12.75" customHeight="1" thickBot="1" x14ac:dyDescent="0.25">
      <c r="A108" s="1730" t="s">
        <v>508</v>
      </c>
      <c r="B108" s="1734"/>
      <c r="C108" s="1729">
        <f>SUM(C95:C107)</f>
        <v>824414</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825248</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1565</v>
      </c>
      <c r="B116" s="1618"/>
      <c r="C116" s="522"/>
      <c r="D116" s="521"/>
      <c r="E116" s="561"/>
      <c r="F116" s="521"/>
      <c r="G116" s="521"/>
      <c r="H116" s="561"/>
      <c r="I116" s="468"/>
      <c r="J116" s="521"/>
      <c r="K116" s="521"/>
    </row>
    <row r="117" spans="1:11" ht="12.75" customHeight="1" x14ac:dyDescent="0.2">
      <c r="A117" s="463" t="s">
        <v>1752</v>
      </c>
      <c r="B117" s="562">
        <v>3001</v>
      </c>
      <c r="C117" s="516">
        <v>260370</v>
      </c>
      <c r="D117" s="481"/>
      <c r="E117" s="466"/>
      <c r="F117" s="481"/>
      <c r="G117" s="481"/>
      <c r="H117" s="466"/>
      <c r="I117" s="468"/>
      <c r="J117" s="467"/>
      <c r="K117" s="466"/>
    </row>
    <row r="118" spans="1:11" ht="12.75" customHeight="1" x14ac:dyDescent="0.2">
      <c r="A118" s="463" t="s">
        <v>1848</v>
      </c>
      <c r="B118" s="562">
        <v>3002</v>
      </c>
      <c r="C118" s="551"/>
      <c r="D118" s="466"/>
      <c r="E118" s="466"/>
      <c r="F118" s="466"/>
      <c r="G118" s="466"/>
      <c r="H118" s="466"/>
      <c r="I118" s="468"/>
      <c r="J118" s="467"/>
      <c r="K118" s="466"/>
    </row>
    <row r="119" spans="1:11" ht="12.75" customHeight="1" x14ac:dyDescent="0.2">
      <c r="A119" s="463" t="s">
        <v>1849</v>
      </c>
      <c r="B119" s="562">
        <v>3005</v>
      </c>
      <c r="C119" s="551"/>
      <c r="D119" s="466"/>
      <c r="E119" s="466"/>
      <c r="F119" s="466"/>
      <c r="G119" s="466"/>
      <c r="H119" s="466"/>
      <c r="I119" s="468"/>
      <c r="J119" s="467"/>
      <c r="K119" s="466"/>
    </row>
    <row r="120" spans="1:11" x14ac:dyDescent="0.2">
      <c r="A120" s="1518" t="s">
        <v>1850</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260370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1564</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1515</v>
      </c>
      <c r="B125" s="562">
        <v>3105</v>
      </c>
      <c r="C125" s="466"/>
      <c r="D125" s="561"/>
      <c r="E125" s="468"/>
      <c r="F125" s="466"/>
      <c r="G125" s="468"/>
      <c r="H125" s="468"/>
      <c r="I125" s="468"/>
      <c r="J125" s="468"/>
      <c r="K125" s="468"/>
    </row>
    <row r="126" spans="1:11" ht="12.75" customHeight="1" x14ac:dyDescent="0.2">
      <c r="A126" s="463" t="s">
        <v>922</v>
      </c>
      <c r="B126" s="562">
        <v>3110</v>
      </c>
      <c r="C126" s="551">
        <v>130185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1516</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130185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1517</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1518</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130185</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390555</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1566</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1750</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1749</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1852</v>
      </c>
      <c r="B185" s="2167"/>
      <c r="C185" s="584"/>
      <c r="D185" s="566"/>
      <c r="E185" s="509"/>
      <c r="F185" s="566"/>
      <c r="G185" s="566"/>
      <c r="H185" s="468"/>
      <c r="I185" s="468"/>
      <c r="J185" s="468"/>
      <c r="K185" s="468"/>
    </row>
    <row r="186" spans="1:11" ht="15.75" customHeight="1" x14ac:dyDescent="0.2">
      <c r="A186" s="1625" t="s">
        <v>1678</v>
      </c>
      <c r="B186" s="1626"/>
      <c r="C186" s="522"/>
      <c r="D186" s="521"/>
      <c r="E186" s="509"/>
      <c r="F186" s="521"/>
      <c r="G186" s="521"/>
      <c r="H186" s="468"/>
      <c r="I186" s="468"/>
      <c r="J186" s="468"/>
      <c r="K186" s="468"/>
    </row>
    <row r="187" spans="1:11" ht="12.75" customHeight="1" x14ac:dyDescent="0.2">
      <c r="A187" s="463" t="s">
        <v>1679</v>
      </c>
      <c r="B187" s="470">
        <v>4100</v>
      </c>
      <c r="C187" s="516"/>
      <c r="D187" s="481"/>
      <c r="E187" s="561"/>
      <c r="F187" s="481"/>
      <c r="G187" s="481"/>
      <c r="H187" s="468"/>
      <c r="I187" s="468"/>
      <c r="J187" s="468"/>
      <c r="K187" s="468"/>
    </row>
    <row r="188" spans="1:11" ht="12.75" customHeight="1" x14ac:dyDescent="0.2">
      <c r="A188" s="463" t="s">
        <v>1680</v>
      </c>
      <c r="B188" s="470">
        <v>4105</v>
      </c>
      <c r="C188" s="551"/>
      <c r="D188" s="466"/>
      <c r="E188" s="561"/>
      <c r="F188" s="466"/>
      <c r="G188" s="466"/>
      <c r="H188" s="468"/>
      <c r="I188" s="468"/>
      <c r="J188" s="468"/>
      <c r="K188" s="468"/>
    </row>
    <row r="189" spans="1:11" ht="12.75" customHeight="1" x14ac:dyDescent="0.2">
      <c r="A189" s="463" t="s">
        <v>1682</v>
      </c>
      <c r="B189" s="470">
        <v>4107</v>
      </c>
      <c r="C189" s="551"/>
      <c r="D189" s="466"/>
      <c r="E189" s="561"/>
      <c r="F189" s="466"/>
      <c r="G189" s="466"/>
      <c r="H189" s="468"/>
      <c r="I189" s="468"/>
      <c r="J189" s="468"/>
      <c r="K189" s="468"/>
    </row>
    <row r="190" spans="1:11" ht="12.75" customHeight="1" x14ac:dyDescent="0.2">
      <c r="A190" s="463" t="s">
        <v>1681</v>
      </c>
      <c r="B190" s="470">
        <v>4199</v>
      </c>
      <c r="C190" s="551"/>
      <c r="D190" s="466"/>
      <c r="E190" s="561"/>
      <c r="F190" s="466"/>
      <c r="G190" s="466"/>
      <c r="H190" s="468"/>
      <c r="I190" s="468"/>
      <c r="J190" s="468"/>
      <c r="K190" s="468"/>
    </row>
    <row r="191" spans="1:11" ht="12.75" customHeight="1" thickBot="1" x14ac:dyDescent="0.25">
      <c r="A191" s="1730" t="s">
        <v>1683</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1519</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1520</v>
      </c>
      <c r="B197" s="470">
        <v>4225</v>
      </c>
      <c r="C197" s="551"/>
      <c r="D197" s="468"/>
      <c r="E197" s="561"/>
      <c r="F197" s="468"/>
      <c r="G197" s="585"/>
      <c r="H197" s="468"/>
      <c r="I197" s="468"/>
      <c r="J197" s="468"/>
      <c r="K197" s="468"/>
    </row>
    <row r="198" spans="1:11" ht="12.75" customHeight="1" x14ac:dyDescent="0.2">
      <c r="A198" s="463" t="s">
        <v>1521</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1522</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65624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1523</v>
      </c>
      <c r="B220" s="557">
        <v>4620</v>
      </c>
      <c r="C220" s="551">
        <v>1502159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1567783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1524</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1487</v>
      </c>
      <c r="B260" s="588">
        <v>4901</v>
      </c>
      <c r="C260" s="589"/>
      <c r="D260" s="469"/>
      <c r="E260" s="468"/>
      <c r="F260" s="468"/>
      <c r="G260" s="468"/>
      <c r="H260" s="468"/>
      <c r="I260" s="468"/>
      <c r="J260" s="468"/>
      <c r="K260" s="468"/>
    </row>
    <row r="261" spans="1:11" ht="12.75" customHeight="1" thickTop="1" thickBot="1" x14ac:dyDescent="0.25">
      <c r="A261" s="1525" t="s">
        <v>1532</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1525</v>
      </c>
      <c r="B263" s="470">
        <v>4905</v>
      </c>
      <c r="C263" s="573"/>
      <c r="D263" s="468"/>
      <c r="E263" s="468"/>
      <c r="F263" s="578"/>
      <c r="G263" s="573"/>
      <c r="H263" s="468"/>
      <c r="I263" s="468"/>
      <c r="J263" s="468"/>
      <c r="K263" s="468"/>
    </row>
    <row r="264" spans="1:11" ht="12.75" customHeight="1" thickTop="1" thickBot="1" x14ac:dyDescent="0.25">
      <c r="A264" s="463" t="s">
        <v>1526</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89273</v>
      </c>
      <c r="D270" s="576"/>
      <c r="E270" s="468"/>
      <c r="F270" s="576"/>
      <c r="G270" s="576"/>
      <c r="H270" s="468"/>
      <c r="I270" s="468"/>
      <c r="J270" s="468"/>
      <c r="K270" s="468"/>
    </row>
    <row r="271" spans="1:11" ht="12.75" customHeight="1" thickTop="1" thickBot="1" x14ac:dyDescent="0.25">
      <c r="A271" s="463" t="s">
        <v>395</v>
      </c>
      <c r="B271" s="470">
        <v>4992</v>
      </c>
      <c r="C271" s="575">
        <v>146997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1751</v>
      </c>
      <c r="B273" s="1749"/>
      <c r="C273" s="1737">
        <f t="shared" ref="C273:H273" si="10">SUM(C191,C201,C211,C216,C224,C228,C229,C259:C272)</f>
        <v>1804053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1804053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3019856</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47" activePane="bottomLeft" state="frozen"/>
      <selection activeCell="A47" sqref="A47"/>
      <selection pane="bottomLeft" activeCell="L137" sqref="L13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1851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1502</v>
      </c>
      <c r="B6" s="615" t="s">
        <v>1500</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17517</v>
      </c>
      <c r="D8" s="466">
        <v>2284</v>
      </c>
      <c r="E8" s="466"/>
      <c r="F8" s="466"/>
      <c r="G8" s="466"/>
      <c r="H8" s="466"/>
      <c r="I8" s="467"/>
      <c r="J8" s="467"/>
      <c r="K8" s="1693">
        <f t="shared" si="0"/>
        <v>19801</v>
      </c>
      <c r="L8" s="466">
        <v>14967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1753</v>
      </c>
      <c r="B33" s="1691" t="s">
        <v>591</v>
      </c>
      <c r="C33" s="1692">
        <f>SUM(C5:C32)</f>
        <v>17517</v>
      </c>
      <c r="D33" s="1692">
        <f t="shared" ref="D33:L33" si="1">SUM(D5:D32)</f>
        <v>2284</v>
      </c>
      <c r="E33" s="1692">
        <f t="shared" si="1"/>
        <v>0</v>
      </c>
      <c r="F33" s="1692">
        <f t="shared" si="1"/>
        <v>0</v>
      </c>
      <c r="G33" s="1692">
        <f t="shared" si="1"/>
        <v>0</v>
      </c>
      <c r="H33" s="1692">
        <f t="shared" si="1"/>
        <v>0</v>
      </c>
      <c r="I33" s="1692">
        <f t="shared" si="1"/>
        <v>0</v>
      </c>
      <c r="J33" s="1692">
        <f t="shared" si="1"/>
        <v>0</v>
      </c>
      <c r="K33" s="1692">
        <f t="shared" si="1"/>
        <v>19801</v>
      </c>
      <c r="L33" s="1692">
        <f t="shared" si="1"/>
        <v>14967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545753</v>
      </c>
      <c r="D36" s="481">
        <v>97126</v>
      </c>
      <c r="E36" s="481">
        <v>22745</v>
      </c>
      <c r="F36" s="481">
        <v>1500</v>
      </c>
      <c r="G36" s="481"/>
      <c r="H36" s="481"/>
      <c r="I36" s="467"/>
      <c r="J36" s="467"/>
      <c r="K36" s="1693">
        <f t="shared" ref="K36:K41" si="2">SUM(C36:J36)</f>
        <v>667124</v>
      </c>
      <c r="L36" s="466">
        <v>731968</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426157</v>
      </c>
      <c r="D38" s="466">
        <v>107391</v>
      </c>
      <c r="E38" s="466">
        <v>21028</v>
      </c>
      <c r="F38" s="466">
        <v>3000</v>
      </c>
      <c r="G38" s="466"/>
      <c r="H38" s="466"/>
      <c r="I38" s="467"/>
      <c r="J38" s="467"/>
      <c r="K38" s="1693">
        <f t="shared" si="2"/>
        <v>557576</v>
      </c>
      <c r="L38" s="466">
        <v>584546</v>
      </c>
    </row>
    <row r="39" spans="1:14" x14ac:dyDescent="0.2">
      <c r="A39" s="1526" t="s">
        <v>208</v>
      </c>
      <c r="B39" s="615">
        <v>2140</v>
      </c>
      <c r="C39" s="466">
        <v>457257</v>
      </c>
      <c r="D39" s="466">
        <v>82513</v>
      </c>
      <c r="E39" s="466">
        <v>25083</v>
      </c>
      <c r="F39" s="466">
        <v>5000</v>
      </c>
      <c r="G39" s="466"/>
      <c r="H39" s="466"/>
      <c r="I39" s="467"/>
      <c r="J39" s="467"/>
      <c r="K39" s="1693">
        <f t="shared" si="2"/>
        <v>569853</v>
      </c>
      <c r="L39" s="466">
        <v>591274</v>
      </c>
    </row>
    <row r="40" spans="1:14" x14ac:dyDescent="0.2">
      <c r="A40" s="1526" t="s">
        <v>209</v>
      </c>
      <c r="B40" s="615">
        <v>2150</v>
      </c>
      <c r="C40" s="466">
        <v>14150</v>
      </c>
      <c r="D40" s="466">
        <v>2686</v>
      </c>
      <c r="E40" s="466"/>
      <c r="F40" s="466"/>
      <c r="G40" s="466"/>
      <c r="H40" s="466"/>
      <c r="I40" s="467"/>
      <c r="J40" s="467"/>
      <c r="K40" s="1693">
        <f t="shared" si="2"/>
        <v>16836</v>
      </c>
      <c r="L40" s="466">
        <v>17653</v>
      </c>
    </row>
    <row r="41" spans="1:14" x14ac:dyDescent="0.2">
      <c r="A41" s="1526" t="s">
        <v>1754</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1443317</v>
      </c>
      <c r="D42" s="1692">
        <f t="shared" ref="D42:L42" si="3">SUM(D36:D41)</f>
        <v>289716</v>
      </c>
      <c r="E42" s="1692">
        <f t="shared" si="3"/>
        <v>68856</v>
      </c>
      <c r="F42" s="1692">
        <f t="shared" si="3"/>
        <v>9500</v>
      </c>
      <c r="G42" s="1692">
        <f t="shared" si="3"/>
        <v>0</v>
      </c>
      <c r="H42" s="1692">
        <f t="shared" si="3"/>
        <v>0</v>
      </c>
      <c r="I42" s="1692">
        <f t="shared" si="3"/>
        <v>0</v>
      </c>
      <c r="J42" s="1692">
        <f t="shared" si="3"/>
        <v>0</v>
      </c>
      <c r="K42" s="1692">
        <f t="shared" si="3"/>
        <v>1811389</v>
      </c>
      <c r="L42" s="1692">
        <f t="shared" si="3"/>
        <v>1925441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87219</v>
      </c>
      <c r="D44" s="481">
        <v>23072</v>
      </c>
      <c r="E44" s="481">
        <v>62233</v>
      </c>
      <c r="F44" s="481">
        <v>188</v>
      </c>
      <c r="G44" s="481"/>
      <c r="H44" s="481"/>
      <c r="I44" s="467"/>
      <c r="J44" s="467"/>
      <c r="K44" s="1694">
        <f>SUM(C44:J44)</f>
        <v>172712</v>
      </c>
      <c r="L44" s="481">
        <v>181410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87219</v>
      </c>
      <c r="D47" s="1692">
        <f t="shared" ref="D47:K47" si="4">SUM(D44:D46)</f>
        <v>23072</v>
      </c>
      <c r="E47" s="1692">
        <f t="shared" si="4"/>
        <v>62233</v>
      </c>
      <c r="F47" s="1692">
        <f t="shared" si="4"/>
        <v>188</v>
      </c>
      <c r="G47" s="1692">
        <f t="shared" si="4"/>
        <v>0</v>
      </c>
      <c r="H47" s="1692">
        <f t="shared" si="4"/>
        <v>0</v>
      </c>
      <c r="I47" s="1692">
        <f t="shared" si="4"/>
        <v>0</v>
      </c>
      <c r="J47" s="1692">
        <f t="shared" si="4"/>
        <v>0</v>
      </c>
      <c r="K47" s="1692">
        <f t="shared" si="4"/>
        <v>172712</v>
      </c>
      <c r="L47" s="1692">
        <f>SUM(L44:L46)</f>
        <v>181410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v>46161</v>
      </c>
      <c r="I49" s="467"/>
      <c r="J49" s="467"/>
      <c r="K49" s="1694">
        <f>SUM(C49:J49)</f>
        <v>46161</v>
      </c>
      <c r="L49" s="481"/>
    </row>
    <row r="50" spans="1:14" x14ac:dyDescent="0.2">
      <c r="A50" s="1526" t="s">
        <v>872</v>
      </c>
      <c r="B50" s="615">
        <v>2320</v>
      </c>
      <c r="C50" s="466">
        <v>110738</v>
      </c>
      <c r="D50" s="466">
        <v>37334</v>
      </c>
      <c r="E50" s="466">
        <v>33033</v>
      </c>
      <c r="F50" s="466">
        <v>9000</v>
      </c>
      <c r="G50" s="466">
        <v>5000</v>
      </c>
      <c r="H50" s="466"/>
      <c r="I50" s="467"/>
      <c r="J50" s="467"/>
      <c r="K50" s="1694">
        <f>SUM(C50:J50)</f>
        <v>195105</v>
      </c>
      <c r="L50" s="466"/>
    </row>
    <row r="51" spans="1:14" x14ac:dyDescent="0.2">
      <c r="A51" s="1526" t="s">
        <v>44</v>
      </c>
      <c r="B51" s="615">
        <v>2330</v>
      </c>
      <c r="C51" s="466">
        <v>384775</v>
      </c>
      <c r="D51" s="466">
        <v>70064</v>
      </c>
      <c r="E51" s="466">
        <v>21915</v>
      </c>
      <c r="F51" s="466"/>
      <c r="G51" s="466"/>
      <c r="H51" s="466"/>
      <c r="I51" s="467"/>
      <c r="J51" s="467"/>
      <c r="K51" s="1694">
        <f>SUM(C51:J51)</f>
        <v>476754</v>
      </c>
      <c r="L51" s="466">
        <v>732166</v>
      </c>
    </row>
    <row r="52" spans="1:14" ht="22.5" x14ac:dyDescent="0.2">
      <c r="A52" s="1527" t="s">
        <v>316</v>
      </c>
      <c r="B52" s="628" t="s">
        <v>384</v>
      </c>
      <c r="C52" s="474"/>
      <c r="D52" s="474"/>
      <c r="E52" s="474">
        <v>22342</v>
      </c>
      <c r="F52" s="474"/>
      <c r="G52" s="474"/>
      <c r="H52" s="474"/>
      <c r="I52" s="474"/>
      <c r="J52" s="474"/>
      <c r="K52" s="1694">
        <f>SUM(C52:J52)</f>
        <v>22342</v>
      </c>
      <c r="L52" s="474"/>
    </row>
    <row r="53" spans="1:14" ht="12.75" customHeight="1" thickBot="1" x14ac:dyDescent="0.25">
      <c r="A53" s="1690" t="s">
        <v>741</v>
      </c>
      <c r="B53" s="1691" t="s">
        <v>33</v>
      </c>
      <c r="C53" s="1692">
        <f>SUM(C49:C52)</f>
        <v>495513</v>
      </c>
      <c r="D53" s="1692">
        <f t="shared" ref="D53:L53" si="5">SUM(D49:D52)</f>
        <v>107398</v>
      </c>
      <c r="E53" s="1692">
        <f t="shared" si="5"/>
        <v>77290</v>
      </c>
      <c r="F53" s="1692">
        <f t="shared" si="5"/>
        <v>9000</v>
      </c>
      <c r="G53" s="1692">
        <f t="shared" si="5"/>
        <v>5000</v>
      </c>
      <c r="H53" s="1692">
        <f t="shared" si="5"/>
        <v>46161</v>
      </c>
      <c r="I53" s="1692">
        <f t="shared" si="5"/>
        <v>0</v>
      </c>
      <c r="J53" s="1692">
        <f t="shared" si="5"/>
        <v>0</v>
      </c>
      <c r="K53" s="1692">
        <f t="shared" si="5"/>
        <v>740362</v>
      </c>
      <c r="L53" s="1692">
        <f t="shared" si="5"/>
        <v>732166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v>9264</v>
      </c>
      <c r="I59" s="467"/>
      <c r="J59" s="467"/>
      <c r="K59" s="1694">
        <f t="shared" ref="K59:K64" si="7">SUM(C59:J59)</f>
        <v>9264</v>
      </c>
      <c r="L59" s="481"/>
      <c r="M59" s="610"/>
      <c r="N59" s="610"/>
    </row>
    <row r="60" spans="1:14" s="343" customFormat="1" x14ac:dyDescent="0.2">
      <c r="A60" s="1526" t="s">
        <v>483</v>
      </c>
      <c r="B60" s="615">
        <v>2520</v>
      </c>
      <c r="C60" s="466">
        <v>29931</v>
      </c>
      <c r="D60" s="466">
        <v>7237</v>
      </c>
      <c r="E60" s="466">
        <v>6635</v>
      </c>
      <c r="F60" s="466">
        <v>2920</v>
      </c>
      <c r="G60" s="466"/>
      <c r="H60" s="466"/>
      <c r="I60" s="467"/>
      <c r="J60" s="467"/>
      <c r="K60" s="1694">
        <f t="shared" si="7"/>
        <v>46723</v>
      </c>
      <c r="L60" s="466">
        <v>60896</v>
      </c>
      <c r="M60" s="610"/>
      <c r="N60" s="610"/>
    </row>
    <row r="61" spans="1:14" s="343" customFormat="1" x14ac:dyDescent="0.2">
      <c r="A61" s="1526" t="s">
        <v>206</v>
      </c>
      <c r="B61" s="615">
        <v>2540</v>
      </c>
      <c r="C61" s="466"/>
      <c r="D61" s="466"/>
      <c r="E61" s="466">
        <v>44993</v>
      </c>
      <c r="F61" s="466"/>
      <c r="G61" s="466"/>
      <c r="H61" s="466"/>
      <c r="I61" s="467"/>
      <c r="J61" s="467"/>
      <c r="K61" s="1694">
        <f t="shared" si="7"/>
        <v>44993</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v>4844</v>
      </c>
      <c r="F64" s="481"/>
      <c r="G64" s="481"/>
      <c r="H64" s="481"/>
      <c r="I64" s="467"/>
      <c r="J64" s="467"/>
      <c r="K64" s="1694">
        <f t="shared" si="7"/>
        <v>4844</v>
      </c>
      <c r="L64" s="481"/>
    </row>
    <row r="65" spans="1:14" s="343" customFormat="1" ht="12.75" customHeight="1" thickBot="1" x14ac:dyDescent="0.25">
      <c r="A65" s="1690" t="s">
        <v>743</v>
      </c>
      <c r="B65" s="1691" t="s">
        <v>35</v>
      </c>
      <c r="C65" s="1692">
        <f>SUM(C59:C64)</f>
        <v>29931</v>
      </c>
      <c r="D65" s="1692">
        <f t="shared" ref="D65:L65" si="8">SUM(D59:D64)</f>
        <v>7237</v>
      </c>
      <c r="E65" s="1692">
        <f t="shared" si="8"/>
        <v>56472</v>
      </c>
      <c r="F65" s="1692">
        <f t="shared" si="8"/>
        <v>2920</v>
      </c>
      <c r="G65" s="1692">
        <f t="shared" si="8"/>
        <v>0</v>
      </c>
      <c r="H65" s="1692">
        <f t="shared" si="8"/>
        <v>9264</v>
      </c>
      <c r="I65" s="1692">
        <f t="shared" si="8"/>
        <v>0</v>
      </c>
      <c r="J65" s="1692">
        <f t="shared" si="8"/>
        <v>0</v>
      </c>
      <c r="K65" s="1692">
        <f t="shared" si="8"/>
        <v>105824</v>
      </c>
      <c r="L65" s="1692">
        <f t="shared" si="8"/>
        <v>60896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2055980</v>
      </c>
      <c r="D74" s="1699">
        <f t="shared" ref="D74:K74" si="10">SUM(D42,D47,D53,D57,D65,D72,D73)</f>
        <v>427423</v>
      </c>
      <c r="E74" s="1699">
        <f t="shared" si="10"/>
        <v>264851</v>
      </c>
      <c r="F74" s="1699">
        <f t="shared" si="10"/>
        <v>21608</v>
      </c>
      <c r="G74" s="1699">
        <f t="shared" si="10"/>
        <v>5000</v>
      </c>
      <c r="H74" s="1699">
        <f t="shared" si="10"/>
        <v>55425</v>
      </c>
      <c r="I74" s="1699">
        <f t="shared" si="10"/>
        <v>0</v>
      </c>
      <c r="J74" s="1699">
        <f t="shared" si="10"/>
        <v>0</v>
      </c>
      <c r="K74" s="1699">
        <f t="shared" si="10"/>
        <v>2830287</v>
      </c>
      <c r="L74" s="1699">
        <f>SUM(L42,L47,L53,L57,L65,L72,L73)</f>
        <v>2899913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9392</v>
      </c>
      <c r="I79" s="477"/>
      <c r="J79" s="477"/>
      <c r="K79" s="1693">
        <f t="shared" si="11"/>
        <v>9392</v>
      </c>
      <c r="L79" s="466">
        <v>16244</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4194</v>
      </c>
      <c r="I83" s="477"/>
      <c r="J83" s="477"/>
      <c r="K83" s="1693">
        <f t="shared" si="11"/>
        <v>4194</v>
      </c>
      <c r="L83" s="466"/>
    </row>
    <row r="84" spans="1:12" ht="13.5" thickBot="1" x14ac:dyDescent="0.25">
      <c r="A84" s="1690" t="s">
        <v>1559</v>
      </c>
      <c r="B84" s="1700">
        <v>4100</v>
      </c>
      <c r="C84" s="617"/>
      <c r="D84" s="617"/>
      <c r="E84" s="1692">
        <f>SUM(E78:E83)</f>
        <v>0</v>
      </c>
      <c r="F84" s="617"/>
      <c r="G84" s="617"/>
      <c r="H84" s="1692">
        <f>SUM(H78:H83)</f>
        <v>13586</v>
      </c>
      <c r="I84" s="477"/>
      <c r="J84" s="477"/>
      <c r="K84" s="1692">
        <f>SUM(K78:K83)</f>
        <v>13586</v>
      </c>
      <c r="L84" s="1692">
        <f>SUM(L78:L83)</f>
        <v>16244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1634</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1562</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1560</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1563</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1561</v>
      </c>
      <c r="B102" s="1700">
        <v>4000</v>
      </c>
      <c r="C102" s="617"/>
      <c r="D102" s="617"/>
      <c r="E102" s="1699">
        <f>SUM(E84,E92,E100,E101)</f>
        <v>0</v>
      </c>
      <c r="F102" s="617"/>
      <c r="G102" s="617"/>
      <c r="H102" s="1699">
        <f>SUM(H84,H92,H100,H101)</f>
        <v>13586</v>
      </c>
      <c r="I102" s="477"/>
      <c r="J102" s="477"/>
      <c r="K102" s="1699">
        <f>SUM(K84,K92,K100,K101)</f>
        <v>13586</v>
      </c>
      <c r="L102" s="1699">
        <f>SUM(L84,L92,L100,L101)</f>
        <v>16244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2073497</v>
      </c>
      <c r="D114" s="1692">
        <f t="shared" ref="D114:K114" si="13">SUM(D33,D74,D75,D102,D112,D113)</f>
        <v>429707</v>
      </c>
      <c r="E114" s="1692">
        <f t="shared" si="13"/>
        <v>264851</v>
      </c>
      <c r="F114" s="1692">
        <f t="shared" si="13"/>
        <v>21608</v>
      </c>
      <c r="G114" s="1692">
        <f t="shared" si="13"/>
        <v>5000</v>
      </c>
      <c r="H114" s="1692">
        <f>SUM(H33,H74,H75,H102,H112,H113)</f>
        <v>69011</v>
      </c>
      <c r="I114" s="1692">
        <f t="shared" si="13"/>
        <v>0</v>
      </c>
      <c r="J114" s="1692">
        <f t="shared" si="13"/>
        <v>0</v>
      </c>
      <c r="K114" s="1692">
        <f t="shared" si="13"/>
        <v>2863674</v>
      </c>
      <c r="L114" s="1692">
        <f>SUM(L33,L74,L75,L102,L112,L113)</f>
        <v>2931124</v>
      </c>
    </row>
    <row r="115" spans="1:14" ht="13.5" thickTop="1" x14ac:dyDescent="0.2">
      <c r="A115" s="2199" t="s">
        <v>1053</v>
      </c>
      <c r="B115" s="2200"/>
      <c r="C115" s="619"/>
      <c r="D115" s="619"/>
      <c r="E115" s="619"/>
      <c r="F115" s="619"/>
      <c r="G115" s="619"/>
      <c r="H115" s="619"/>
      <c r="I115" s="619"/>
      <c r="J115" s="619"/>
      <c r="K115" s="1706">
        <f>'Revenues 9-14'!C275-'Expenditures 15-22'!K114</f>
        <v>156182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v>6738</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6738</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6738</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1901</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v>44843</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44843</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1561</v>
      </c>
      <c r="B139" s="1700">
        <v>4000</v>
      </c>
      <c r="C139" s="617"/>
      <c r="D139" s="617"/>
      <c r="E139" s="1692">
        <f>SUM(E137,E138)</f>
        <v>0</v>
      </c>
      <c r="F139" s="617"/>
      <c r="G139" s="617"/>
      <c r="H139" s="1701">
        <f>SUM(H137:H138)</f>
        <v>0</v>
      </c>
      <c r="I139" s="477"/>
      <c r="J139" s="617"/>
      <c r="K139" s="1694">
        <f>SUM(K137,K138)</f>
        <v>0</v>
      </c>
      <c r="L139" s="1701">
        <f>SUM(L137,L138)</f>
        <v>44843</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51581</v>
      </c>
    </row>
    <row r="152" spans="1:14" ht="12.75" customHeight="1" thickTop="1" x14ac:dyDescent="0.2">
      <c r="A152" s="2192" t="s">
        <v>1240</v>
      </c>
      <c r="B152" s="2193"/>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1902</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1901</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1903</v>
      </c>
      <c r="C158" s="617"/>
      <c r="D158" s="617"/>
      <c r="E158" s="617"/>
      <c r="F158" s="617"/>
      <c r="G158" s="617"/>
      <c r="H158" s="467"/>
      <c r="I158" s="617"/>
      <c r="J158" s="617"/>
      <c r="K158" s="1693">
        <f>H158</f>
        <v>0</v>
      </c>
      <c r="L158" s="467"/>
      <c r="M158" s="620"/>
      <c r="N158" s="620"/>
    </row>
    <row r="159" spans="1:14" s="621" customFormat="1" ht="12" x14ac:dyDescent="0.2">
      <c r="A159" s="1849" t="s">
        <v>1904</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1905</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1755</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9" t="s">
        <v>1053</v>
      </c>
      <c r="B175" s="2200"/>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1561</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1756</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9" t="s">
        <v>1053</v>
      </c>
      <c r="B211" s="2200"/>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1854</v>
      </c>
      <c r="B249" s="684" t="s">
        <v>300</v>
      </c>
      <c r="C249" s="617"/>
      <c r="D249" s="474"/>
      <c r="E249" s="617"/>
      <c r="F249" s="617"/>
      <c r="G249" s="617"/>
      <c r="H249" s="617"/>
      <c r="I249" s="617"/>
      <c r="J249" s="617"/>
      <c r="K249" s="1694">
        <f t="shared" si="21"/>
        <v>0</v>
      </c>
      <c r="L249" s="466"/>
    </row>
    <row r="250" spans="1:12" x14ac:dyDescent="0.2">
      <c r="A250" s="1527" t="s">
        <v>1855</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1853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1901</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1561</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9" t="s">
        <v>1053</v>
      </c>
      <c r="B296" s="2200"/>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1906</v>
      </c>
      <c r="B306" s="691" t="s">
        <v>1901</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1561</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1854</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1907</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1901</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1903</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1908</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5" t="s">
        <v>1053</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1909</v>
      </c>
      <c r="B354" s="684" t="s">
        <v>1901</v>
      </c>
      <c r="C354" s="617"/>
      <c r="D354" s="617"/>
      <c r="E354" s="617"/>
      <c r="F354" s="617"/>
      <c r="G354" s="617"/>
      <c r="H354" s="474"/>
      <c r="I354" s="702"/>
      <c r="J354" s="617"/>
      <c r="K354" s="1721">
        <f>H354</f>
        <v>0</v>
      </c>
      <c r="L354" s="471"/>
    </row>
    <row r="355" spans="1:14" ht="12.75" customHeight="1" x14ac:dyDescent="0.2">
      <c r="A355" s="1535" t="s">
        <v>1910</v>
      </c>
      <c r="B355" s="691" t="s">
        <v>1903</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1561</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1757</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2018-09-10T19:05:24Z</cp:lastPrinted>
  <dcterms:created xsi:type="dcterms:W3CDTF">2003-10-29T19:06:34Z</dcterms:created>
  <dcterms:modified xsi:type="dcterms:W3CDTF">2018-10-02T15:12:27Z</dcterms:modified>
</cp:coreProperties>
</file>