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7935" yWindow="660" windowWidth="10110" windowHeight="3090" tabRatio="81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8">'Expenditures 15-22'!$A$1:$K$368</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E81" i="29" l="1"/>
  <c r="H81" i="29"/>
  <c r="F51" i="29"/>
  <c r="E51" i="29"/>
  <c r="G13" i="29"/>
  <c r="F13" i="29"/>
  <c r="E13" i="29"/>
  <c r="E44" i="29"/>
  <c r="F37" i="29"/>
  <c r="E37" i="29"/>
  <c r="D51" i="29"/>
  <c r="D44" i="29" l="1"/>
  <c r="C227" i="5"/>
  <c r="C134" i="5"/>
  <c r="C113" i="5"/>
  <c r="C112" i="5"/>
  <c r="C111" i="5"/>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B5304" i="106" s="1"/>
  <c r="D5304" i="106" s="1"/>
  <c r="C259" i="5"/>
  <c r="B7761" i="106"/>
  <c r="L127" i="29"/>
  <c r="L129" i="29" s="1"/>
  <c r="L139" i="29"/>
  <c r="L149" i="29"/>
  <c r="I7" i="145"/>
  <c r="I6" i="145"/>
  <c r="D82" i="36"/>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c r="B5101" i="106"/>
  <c r="D5101" i="106" s="1"/>
  <c r="B5103" i="106"/>
  <c r="D5103" i="106"/>
  <c r="B5104" i="106"/>
  <c r="D5104" i="106" s="1"/>
  <c r="B5105" i="106"/>
  <c r="D5105" i="106"/>
  <c r="B5106" i="106"/>
  <c r="D5106" i="106" s="1"/>
  <c r="B5107" i="106"/>
  <c r="D5107" i="106"/>
  <c r="B5108" i="106"/>
  <c r="D5108" i="106" s="1"/>
  <c r="B5109" i="106"/>
  <c r="D5109" i="106"/>
  <c r="B5110" i="106"/>
  <c r="D5110" i="106" s="1"/>
  <c r="B5111" i="106"/>
  <c r="D5111" i="106"/>
  <c r="B5113" i="106"/>
  <c r="D5113" i="106" s="1"/>
  <c r="B5114" i="106"/>
  <c r="D5114" i="106" s="1"/>
  <c r="B5115" i="106"/>
  <c r="D5115" i="106" s="1"/>
  <c r="B5116" i="106"/>
  <c r="D5116" i="106"/>
  <c r="B5117" i="106"/>
  <c r="D5117" i="106" s="1"/>
  <c r="B5118" i="106"/>
  <c r="D5118" i="106" s="1"/>
  <c r="B5119" i="106"/>
  <c r="D5119" i="106" s="1"/>
  <c r="B5122" i="106"/>
  <c r="D5122" i="106"/>
  <c r="B5123" i="106"/>
  <c r="D5123" i="106" s="1"/>
  <c r="B5124" i="106"/>
  <c r="D5124" i="106" s="1"/>
  <c r="B5126" i="106"/>
  <c r="D5126" i="106" s="1"/>
  <c r="B5127" i="106"/>
  <c r="D5127" i="106"/>
  <c r="D5128" i="106"/>
  <c r="D5129" i="106"/>
  <c r="D5130" i="106"/>
  <c r="D5131" i="106"/>
  <c r="B5133" i="106"/>
  <c r="D5133" i="106" s="1"/>
  <c r="B5134" i="106"/>
  <c r="D5134" i="106"/>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s="1"/>
  <c r="B5241" i="106"/>
  <c r="D5241" i="106"/>
  <c r="B5242" i="106"/>
  <c r="D5242" i="106" s="1"/>
  <c r="B5243" i="106"/>
  <c r="D5243" i="106"/>
  <c r="D5244" i="106"/>
  <c r="D5245" i="106"/>
  <c r="B5247" i="106"/>
  <c r="D5247" i="106"/>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c r="D5460" i="106"/>
  <c r="D5461" i="106"/>
  <c r="B5462" i="106"/>
  <c r="D5462" i="106"/>
  <c r="B5463" i="106"/>
  <c r="D5463" i="106" s="1"/>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c r="B6299" i="106"/>
  <c r="D6299" i="106" s="1"/>
  <c r="B6300" i="106"/>
  <c r="D6300" i="106"/>
  <c r="B6302" i="106"/>
  <c r="D6302" i="106" s="1"/>
  <c r="B6303" i="106"/>
  <c r="D6303" i="106"/>
  <c r="B6304" i="106"/>
  <c r="D6304" i="106" s="1"/>
  <c r="B6305" i="106"/>
  <c r="D6305" i="106"/>
  <c r="B6307" i="106"/>
  <c r="D6307" i="106" s="1"/>
  <c r="B6308" i="106"/>
  <c r="D6308" i="106"/>
  <c r="B6309" i="106"/>
  <c r="D6309" i="106" s="1"/>
  <c r="B6310" i="106"/>
  <c r="D6310" i="106"/>
  <c r="B6311" i="106"/>
  <c r="D6311" i="106" s="1"/>
  <c r="B6312" i="106"/>
  <c r="D6312" i="106"/>
  <c r="B6313" i="106"/>
  <c r="D6313" i="106" s="1"/>
  <c r="B6314" i="106"/>
  <c r="D6314" i="106"/>
  <c r="B6315" i="106"/>
  <c r="D6315" i="106" s="1"/>
  <c r="B6316" i="106"/>
  <c r="D6316" i="106"/>
  <c r="B6317" i="106"/>
  <c r="D6317" i="106" s="1"/>
  <c r="B6319" i="106"/>
  <c r="D6319" i="106"/>
  <c r="B6320" i="106"/>
  <c r="D6320" i="106" s="1"/>
  <c r="B6321" i="106"/>
  <c r="D6321" i="106"/>
  <c r="B6322" i="106"/>
  <c r="D6322" i="106" s="1"/>
  <c r="B6323" i="106"/>
  <c r="D6323" i="106"/>
  <c r="B6324" i="106"/>
  <c r="D6324" i="106" s="1"/>
  <c r="B6325" i="106"/>
  <c r="D6325" i="106" s="1"/>
  <c r="B6326" i="106"/>
  <c r="D6326" i="106" s="1"/>
  <c r="B6327" i="106"/>
  <c r="D6327" i="106"/>
  <c r="B6328" i="106"/>
  <c r="D6328" i="106" s="1"/>
  <c r="B6329" i="106"/>
  <c r="D6329" i="106" s="1"/>
  <c r="B6330" i="106"/>
  <c r="D6330" i="106" s="1"/>
  <c r="B6331" i="106"/>
  <c r="D6331" i="106"/>
  <c r="B6332" i="106"/>
  <c r="D6332" i="106" s="1"/>
  <c r="B6333" i="106"/>
  <c r="D6333" i="106" s="1"/>
  <c r="B6334" i="106"/>
  <c r="D6334" i="106" s="1"/>
  <c r="B6335" i="106"/>
  <c r="D6335" i="106"/>
  <c r="B6336" i="106"/>
  <c r="D6336" i="106" s="1"/>
  <c r="B6337" i="106"/>
  <c r="D6337" i="106" s="1"/>
  <c r="B6338" i="106"/>
  <c r="D6338" i="106" s="1"/>
  <c r="B6339" i="106"/>
  <c r="D6339" i="106"/>
  <c r="B6340" i="106"/>
  <c r="D6340" i="106" s="1"/>
  <c r="B6341" i="106"/>
  <c r="D6341" i="106" s="1"/>
  <c r="B6342" i="106"/>
  <c r="D6342" i="106" s="1"/>
  <c r="B6343" i="106"/>
  <c r="D6343" i="106"/>
  <c r="B6344" i="106"/>
  <c r="D6344" i="106" s="1"/>
  <c r="B6345" i="106"/>
  <c r="D6345" i="106" s="1"/>
  <c r="B6346" i="106"/>
  <c r="D6346" i="106" s="1"/>
  <c r="B6347" i="106"/>
  <c r="D6347" i="106"/>
  <c r="B6348" i="106"/>
  <c r="D6348" i="106" s="1"/>
  <c r="B6349" i="106"/>
  <c r="D6349" i="106" s="1"/>
  <c r="B6350" i="106"/>
  <c r="D6350" i="106" s="1"/>
  <c r="B6353" i="106"/>
  <c r="D6353" i="106"/>
  <c r="B6354" i="106"/>
  <c r="D6354" i="106" s="1"/>
  <c r="B6355" i="106"/>
  <c r="D6355" i="106" s="1"/>
  <c r="B6356" i="106"/>
  <c r="D6356" i="106" s="1"/>
  <c r="B6358" i="106"/>
  <c r="D6358" i="106"/>
  <c r="B6359" i="106"/>
  <c r="D6359" i="106" s="1"/>
  <c r="B6360" i="106"/>
  <c r="D6360" i="106" s="1"/>
  <c r="B6361" i="106"/>
  <c r="D6361" i="106" s="1"/>
  <c r="B6362" i="106"/>
  <c r="D6362" i="106"/>
  <c r="B6363" i="106"/>
  <c r="D6363" i="106" s="1"/>
  <c r="B6364" i="106"/>
  <c r="D6364" i="106" s="1"/>
  <c r="B6365" i="106"/>
  <c r="D6365" i="106" s="1"/>
  <c r="B6366" i="106"/>
  <c r="D6366" i="106"/>
  <c r="B6367" i="106"/>
  <c r="D6367" i="106" s="1"/>
  <c r="B6368" i="106"/>
  <c r="D6368" i="106" s="1"/>
  <c r="B6369" i="106"/>
  <c r="D6369" i="106" s="1"/>
  <c r="B6370" i="106"/>
  <c r="D6370" i="106"/>
  <c r="B6371" i="106"/>
  <c r="D6371" i="106" s="1"/>
  <c r="B6372" i="106"/>
  <c r="D6372" i="106" s="1"/>
  <c r="B6373" i="106"/>
  <c r="D6373" i="106" s="1"/>
  <c r="B6374" i="106"/>
  <c r="D6374" i="106"/>
  <c r="B6375" i="106"/>
  <c r="D6375" i="106" s="1"/>
  <c r="B6376" i="106"/>
  <c r="D6376" i="106" s="1"/>
  <c r="B6377" i="106"/>
  <c r="D6377" i="106" s="1"/>
  <c r="B6378" i="106"/>
  <c r="D6378" i="106"/>
  <c r="B6379" i="106"/>
  <c r="D6379" i="106" s="1"/>
  <c r="B6380" i="106"/>
  <c r="D6380" i="106" s="1"/>
  <c r="B6381" i="106"/>
  <c r="D6381" i="106" s="1"/>
  <c r="B6382" i="106"/>
  <c r="D6382" i="106"/>
  <c r="B6383" i="106"/>
  <c r="D6383" i="106" s="1"/>
  <c r="B6384" i="106"/>
  <c r="D6384" i="106" s="1"/>
  <c r="B6385" i="106"/>
  <c r="D6385" i="106" s="1"/>
  <c r="B6386" i="106"/>
  <c r="D6386" i="106"/>
  <c r="B6387" i="106"/>
  <c r="D6387" i="106" s="1"/>
  <c r="B6388" i="106"/>
  <c r="D6388" i="106" s="1"/>
  <c r="B6389" i="106"/>
  <c r="D6389" i="106" s="1"/>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G172" i="5" s="1"/>
  <c r="G173" i="5" s="1"/>
  <c r="B5778" i="106" s="1"/>
  <c r="D5778"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J178" i="5"/>
  <c r="B6400" i="106" s="1"/>
  <c r="D6400" i="106" s="1"/>
  <c r="K178" i="5"/>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c r="D4413" i="106" s="1"/>
  <c r="G216" i="5"/>
  <c r="B4414" i="106" s="1"/>
  <c r="D4414" i="106" s="1"/>
  <c r="B5286" i="106"/>
  <c r="D5286" i="106" s="1"/>
  <c r="D224" i="5"/>
  <c r="B5470" i="106" s="1"/>
  <c r="D5470" i="106" s="1"/>
  <c r="F224" i="5"/>
  <c r="B5703" i="106" s="1"/>
  <c r="D5703" i="106" s="1"/>
  <c r="G224" i="5"/>
  <c r="B5829" i="106" s="1"/>
  <c r="D5829" i="106" s="1"/>
  <c r="D228" i="5"/>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D5" i="4"/>
  <c r="B3406" i="106" s="1"/>
  <c r="D3406" i="106" s="1"/>
  <c r="G5" i="4"/>
  <c r="B3409" i="106" s="1"/>
  <c r="D3409" i="106" s="1"/>
  <c r="G14" i="4"/>
  <c r="B2609" i="106" s="1"/>
  <c r="D2609" i="106" s="1"/>
  <c r="G15" i="4"/>
  <c r="B6032" i="106" s="1"/>
  <c r="D6032" i="106" s="1"/>
  <c r="F13" i="4"/>
  <c r="B2596" i="106" s="1"/>
  <c r="D2596"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H22" i="37"/>
  <c r="J22" i="37"/>
  <c r="L22" i="37"/>
  <c r="D24" i="37"/>
  <c r="B4270" i="106" s="1"/>
  <c r="D4270" i="106" s="1"/>
  <c r="D4" i="7"/>
  <c r="B1760" i="106" s="1"/>
  <c r="D1760" i="106" s="1"/>
  <c r="D5" i="7"/>
  <c r="B1761" i="106" s="1"/>
  <c r="D1761" i="106" s="1"/>
  <c r="D13" i="7"/>
  <c r="B3726" i="106" s="1"/>
  <c r="D3726" i="106" s="1"/>
  <c r="B5770" i="106"/>
  <c r="D5770" i="106" s="1"/>
  <c r="F131" i="34"/>
  <c r="F128" i="34"/>
  <c r="B5752" i="106"/>
  <c r="D5752" i="106" s="1"/>
  <c r="B5599" i="106"/>
  <c r="D5599" i="106" s="1"/>
  <c r="C172" i="5"/>
  <c r="B5214" i="106" s="1"/>
  <c r="D5214" i="106" s="1"/>
  <c r="H109" i="5"/>
  <c r="B6025" i="106" s="1"/>
  <c r="D6025" i="106" s="1"/>
  <c r="F106" i="34"/>
  <c r="D7" i="7"/>
  <c r="B1763" i="106" s="1"/>
  <c r="D1763" i="106" s="1"/>
  <c r="H4" i="4"/>
  <c r="C173" i="5"/>
  <c r="B5223" i="106" s="1"/>
  <c r="D5223" i="106" s="1"/>
  <c r="B2655" i="106"/>
  <c r="D2655" i="106" s="1"/>
  <c r="B1746" i="106"/>
  <c r="D1746" i="106" s="1"/>
  <c r="D17" i="7"/>
  <c r="B4104" i="106" s="1"/>
  <c r="D4104" i="106" s="1"/>
  <c r="D12" i="7"/>
  <c r="B1769" i="106" s="1"/>
  <c r="D1769" i="106" s="1"/>
  <c r="D11" i="7"/>
  <c r="B1768" i="106" s="1"/>
  <c r="D1768" i="106" s="1"/>
  <c r="B4373" i="106" l="1"/>
  <c r="D4373" i="106" s="1"/>
  <c r="I274" i="5"/>
  <c r="F127" i="34"/>
  <c r="H173" i="5"/>
  <c r="B4951" i="106"/>
  <c r="D4951" i="106" s="1"/>
  <c r="K274" i="5"/>
  <c r="J274" i="5"/>
  <c r="B7054" i="106" s="1"/>
  <c r="D7054" i="106" s="1"/>
  <c r="B7041" i="106"/>
  <c r="D7041" i="106" s="1"/>
  <c r="B5488" i="106"/>
  <c r="D5488" i="106" s="1"/>
  <c r="F136" i="34"/>
  <c r="D15" i="7"/>
  <c r="B1772" i="106" s="1"/>
  <c r="D1772" i="106" s="1"/>
  <c r="D109" i="5"/>
  <c r="F130" i="34"/>
  <c r="D9" i="7"/>
  <c r="B1767" i="106" s="1"/>
  <c r="D1767" i="106" s="1"/>
  <c r="L5" i="11"/>
  <c r="B2056" i="106" s="1"/>
  <c r="D2056" i="106" s="1"/>
  <c r="K28" i="118"/>
  <c r="O27" i="118" s="1"/>
  <c r="O29" i="118" s="1"/>
  <c r="G109" i="5"/>
  <c r="L342" i="29"/>
  <c r="B7235" i="106"/>
  <c r="D7235" i="106" s="1"/>
  <c r="F111" i="34"/>
  <c r="B4357" i="106"/>
  <c r="D4357" i="106" s="1"/>
  <c r="E109" i="5"/>
  <c r="E4" i="4" s="1"/>
  <c r="B2630" i="106" s="1"/>
  <c r="D2630" i="106" s="1"/>
  <c r="F172" i="5"/>
  <c r="B5644" i="106" s="1"/>
  <c r="D5644" i="106" s="1"/>
  <c r="C109" i="5"/>
  <c r="B5121" i="106" s="1"/>
  <c r="D5121" i="106" s="1"/>
  <c r="L312" i="29"/>
  <c r="J41" i="3"/>
  <c r="K350" i="29"/>
  <c r="K24" i="12"/>
  <c r="B3621" i="106"/>
  <c r="D3621" i="106" s="1"/>
  <c r="C367" i="29"/>
  <c r="K76" i="4"/>
  <c r="B3586" i="106" s="1"/>
  <c r="D3586" i="106" s="1"/>
  <c r="I24" i="12"/>
  <c r="E174" i="29"/>
  <c r="B1309" i="106" s="1"/>
  <c r="D1309" i="106" s="1"/>
  <c r="B3649" i="106"/>
  <c r="D3649" i="106" s="1"/>
  <c r="G367" i="29"/>
  <c r="B3650" i="106" s="1"/>
  <c r="D3650" i="106" s="1"/>
  <c r="B1410" i="106"/>
  <c r="D1410" i="106" s="1"/>
  <c r="B1329" i="106"/>
  <c r="D1329" i="106" s="1"/>
  <c r="F61" i="34"/>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C6" i="4"/>
  <c r="B2553" i="106" s="1"/>
  <c r="D2553"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D19" i="7" s="1"/>
  <c r="B1775" i="106" s="1"/>
  <c r="D1775" i="106" s="1"/>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C114" i="29"/>
  <c r="B757" i="106" s="1"/>
  <c r="D757" i="106" s="1"/>
  <c r="B2031" i="106"/>
  <c r="D2031"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B5914" i="106"/>
  <c r="D5914" i="106" s="1"/>
  <c r="F275" i="5"/>
  <c r="J7" i="4"/>
  <c r="B2657" i="106"/>
  <c r="D2657" i="106" s="1"/>
  <c r="D274" i="5"/>
  <c r="B3447" i="106"/>
  <c r="D3447" i="106" s="1"/>
  <c r="B7270" i="106"/>
  <c r="L114" i="29" l="1"/>
  <c r="D44" i="36"/>
  <c r="B7733" i="106"/>
  <c r="D7733" i="106" s="1"/>
  <c r="K26" i="12"/>
  <c r="B7743" i="106" s="1"/>
  <c r="D7743" i="106" s="1"/>
  <c r="B5356" i="106"/>
  <c r="D5356" i="106" s="1"/>
  <c r="D4" i="4"/>
  <c r="B2564" i="106" s="1"/>
  <c r="D2564" i="106" s="1"/>
  <c r="B5906" i="106"/>
  <c r="D5906" i="106" s="1"/>
  <c r="H6" i="4"/>
  <c r="B3628" i="106"/>
  <c r="D3628" i="106" s="1"/>
  <c r="H367" i="29"/>
  <c r="B3660" i="106" s="1"/>
  <c r="D3660" i="106" s="1"/>
  <c r="B3670" i="106"/>
  <c r="D3670" i="106" s="1"/>
  <c r="K352" i="29"/>
  <c r="B1317" i="106"/>
  <c r="D1317" i="106" s="1"/>
  <c r="C4" i="4"/>
  <c r="B2551" i="106" s="1"/>
  <c r="D2551" i="106" s="1"/>
  <c r="H275" i="5"/>
  <c r="L16" i="11"/>
  <c r="B2061" i="106" s="1"/>
  <c r="D2061" i="106" s="1"/>
  <c r="K342" i="29"/>
  <c r="F13" i="34" s="1"/>
  <c r="B1996" i="106"/>
  <c r="D1996" i="106" s="1"/>
  <c r="I26" i="12"/>
  <c r="B7741" i="106" s="1"/>
  <c r="D7741" i="106" s="1"/>
  <c r="B6024" i="106"/>
  <c r="D6024"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D7" i="4"/>
  <c r="D275" i="5"/>
  <c r="B5507" i="106"/>
  <c r="D5507" i="106" s="1"/>
  <c r="B7298" i="106"/>
  <c r="B7299" i="106"/>
  <c r="B1145" i="106" l="1"/>
  <c r="D1145" i="106" s="1"/>
  <c r="E41" i="108"/>
  <c r="K13" i="4"/>
  <c r="B3572" i="106" s="1"/>
  <c r="D3572" i="106" s="1"/>
  <c r="B3672" i="106"/>
  <c r="D3672" i="106" s="1"/>
  <c r="B2656" i="106"/>
  <c r="D2656" i="106" s="1"/>
  <c r="H8" i="4"/>
  <c r="G41" i="108"/>
  <c r="G44" i="108" s="1"/>
  <c r="G45" i="108" s="1"/>
  <c r="K367" i="29"/>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E44" i="108"/>
  <c r="E45" i="108"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B2658" i="106"/>
  <c r="D2658" i="106" s="1"/>
  <c r="H10" i="4"/>
  <c r="B4127" i="106" s="1"/>
  <c r="D41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<sst xmlns="http://schemas.openxmlformats.org/spreadsheetml/2006/main" count="5019" uniqueCount="2100">
  <si>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</si>
  <si>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</si>
  <si>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</si>
  <si>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</si>
  <si>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</si>
  <si>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</si>
  <si>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</si>
  <si>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</si>
  <si>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</si>
  <si>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</si>
  <si>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</si>
  <si>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</si>
  <si>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</si>
  <si>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</si>
  <si>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</si>
  <si>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</si>
  <si>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</si>
  <si>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</si>
  <si>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</si>
  <si>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</si>
  <si>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</si>
  <si>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</si>
  <si>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</si>
  <si>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</si>
  <si>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</si>
  <si>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</si>
  <si>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</si>
  <si>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</si>
  <si>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</si>
  <si>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</si>
  <si>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</si>
  <si>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</si>
  <si>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</si>
  <si>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</si>
  <si>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</si>
  <si>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</si>
  <si>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</si>
  <si>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</si>
  <si>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</si>
  <si>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</si>
  <si>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</si>
  <si>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</si>
  <si>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</si>
  <si>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</si>
  <si>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</si>
  <si>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</si>
  <si>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</si>
  <si>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</si>
  <si>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</si>
  <si>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</si>
  <si>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</si>
  <si>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</si>
  <si>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</si>
  <si>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</si>
  <si>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</si>
  <si>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</si>
  <si>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</si>
  <si>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</si>
  <si>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</si>
  <si>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</si>
  <si>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</si>
  <si>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</si>
  <si>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</si>
  <si>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</si>
  <si>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</si>
  <si>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</si>
  <si>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</si>
  <si>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</si>
  <si>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</si>
  <si>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</si>
  <si>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</si>
  <si>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</si>
  <si>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</si>
  <si>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</si>
  <si>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</si>
  <si>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</si>
  <si>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</si>
  <si>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</si>
  <si>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</si>
  <si>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</si>
  <si>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</si>
  <si>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</si>
  <si>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</si>
  <si>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</si>
  <si>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</si>
  <si>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</si>
  <si>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</si>
  <si>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</si>
  <si>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</si>
  <si>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</si>
  <si>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</si>
  <si>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</si>
  <si>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</si>
  <si>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</si>
  <si>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</si>
  <si>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</si>
  <si>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</si>
  <si>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</si>
  <si>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</si>
  <si>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</si>
  <si>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</si>
  <si>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</si>
  <si>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</si>
  <si>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</si>
  <si>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</si>
  <si>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</si>
  <si>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</si>
  <si>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</si>
  <si>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</si>
  <si>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</si>
  <si>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</si>
  <si>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</si>
  <si>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</si>
  <si>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</si>
  <si>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</si>
  <si>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</si>
  <si>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</si>
  <si>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</si>
  <si>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</si>
  <si>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</si>
  <si>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</si>
  <si>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</si>
  <si>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</si>
  <si>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</si>
  <si>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</si>
  <si>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</si>
  <si>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</si>
  <si>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</si>
  <si>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</si>
  <si>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</si>
  <si>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</si>
  <si>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</si>
  <si>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</si>
  <si>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</si>
  <si>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</si>
  <si>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</si>
  <si>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</si>
  <si>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</si>
  <si>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</si>
  <si>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</si>
  <si>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</si>
  <si>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</si>
  <si>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</si>
  <si>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</si>
  <si>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</si>
  <si>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</si>
  <si>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</si>
  <si>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</si>
  <si>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</si>
  <si>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</si>
  <si>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</si>
  <si>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</si>
  <si>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</si>
  <si>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</si>
  <si>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</si>
  <si>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</si>
  <si>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</si>
  <si>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</si>
  <si>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</si>
  <si>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</si>
  <si>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</si>
  <si>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</si>
  <si>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</si>
  <si>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</si>
  <si>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</si>
  <si>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</si>
  <si>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</si>
  <si>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</si>
  <si>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</si>
  <si>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</si>
  <si>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</si>
  <si>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</si>
  <si>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</si>
  <si>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</si>
  <si>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</si>
  <si>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</si>
  <si>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</si>
  <si>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</si>
  <si>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</si>
  <si>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</si>
  <si>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</si>
  <si>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</si>
  <si>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</si>
  <si>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</si>
  <si>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</si>
  <si>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</si>
  <si>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</si>
  <si>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</si>
  <si>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</si>
  <si>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</si>
  <si>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</si>
  <si>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</si>
  <si>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</si>
  <si>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</si>
  <si>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</si>
  <si>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</si>
  <si>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</si>
  <si>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</si>
  <si>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</si>
  <si>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</si>
  <si>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</si>
  <si>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</si>
  <si>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</si>
  <si>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</si>
  <si>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</si>
  <si>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</si>
  <si>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</si>
  <si>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</si>
  <si>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</si>
  <si>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</si>
  <si>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</si>
  <si>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</si>
  <si>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</si>
  <si>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</si>
  <si>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</si>
  <si>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</si>
  <si>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</si>
  <si>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</si>
  <si>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</si>
  <si>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</si>
  <si>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</si>
  <si>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</si>
  <si>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</si>
  <si>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</si>
  <si>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</si>
  <si>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</si>
  <si>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</si>
  <si>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</si>
  <si>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</si>
  <si>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</si>
  <si>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</si>
  <si>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</si>
  <si>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</si>
  <si>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</si>
  <si>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</si>
  <si>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</si>
  <si>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</si>
  <si>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</si>
  <si>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</si>
  <si>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</si>
  <si>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</si>
  <si>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</si>
  <si>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</si>
  <si>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</si>
  <si>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</si>
  <si>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</si>
  <si>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</si>
  <si>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</si>
  <si>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</si>
  <si>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</si>
  <si>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</si>
  <si>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</si>
  <si>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</si>
  <si>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</si>
  <si>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</si>
  <si>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</si>
  <si>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</si>
  <si>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</si>
  <si>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</si>
  <si>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</si>
  <si>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</si>
  <si>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</si>
  <si>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</si>
  <si>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</si>
  <si>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</si>
  <si>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</si>
  <si>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</si>
  <si>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</si>
  <si>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</si>
  <si>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</si>
  <si>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</si>
  <si>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</si>
  <si>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</si>
  <si>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</si>
  <si>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</si>
  <si>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</si>
  <si>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</si>
  <si>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</si>
  <si>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</si>
  <si>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</si>
  <si>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</si>
  <si>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</si>
  <si>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</si>
  <si>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</si>
  <si>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</si>
  <si>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</si>
  <si>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</si>
  <si>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</si>
  <si>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</si>
  <si>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</si>
  <si>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</si>
  <si>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</si>
  <si>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</si>
  <si>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</si>
  <si>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</si>
  <si>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</si>
  <si>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</si>
  <si>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</si>
  <si>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</si>
  <si>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</si>
  <si>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</si>
  <si>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</si>
  <si>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</si>
  <si>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</si>
  <si>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</si>
  <si>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</si>
  <si>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</si>
  <si>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</si>
  <si>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</si>
  <si>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</si>
  <si>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</si>
  <si>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</si>
  <si>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</si>
  <si>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</si>
  <si>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</si>
  <si>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</si>
  <si>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</si>
  <si>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</si>
  <si>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</si>
  <si>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</si>
  <si>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</si>
  <si>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</si>
  <si>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</si>
  <si>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</si>
  <si>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</si>
  <si>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</si>
  <si>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</si>
  <si>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</si>
  <si>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</si>
  <si>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</si>
  <si>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</si>
  <si>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</si>
  <si>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</si>
  <si>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</si>
  <si>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</si>
  <si>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</si>
  <si>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</si>
  <si>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</si>
  <si>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</si>
  <si>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</si>
  <si>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</si>
  <si>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</si>
  <si>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</si>
  <si>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</si>
  <si>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</si>
  <si>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</si>
  <si>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</si>
  <si>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</si>
  <si>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</si>
  <si>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</si>
  <si>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</si>
  <si>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</si>
  <si>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</si>
  <si>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</si>
  <si>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</si>
  <si>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</si>
  <si>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</si>
  <si>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</si>
  <si>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</si>
  <si>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</si>
  <si>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</si>
  <si>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</si>
  <si>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</si>
  <si>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</si>
  <si>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</si>
  <si>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</si>
  <si>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</si>
  <si>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</si>
  <si>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</si>
  <si>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</si>
  <si>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</si>
  <si>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</si>
  <si>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</si>
  <si>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</si>
  <si>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</si>
  <si>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</si>
  <si>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</si>
  <si>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</si>
  <si>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</si>
  <si>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</si>
  <si>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</si>
  <si>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</si>
  <si>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</si>
  <si>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</si>
  <si>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</si>
  <si>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</si>
  <si>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</si>
  <si>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</si>
  <si>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</si>
  <si>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</si>
  <si>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</si>
  <si>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</si>
  <si>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</si>
  <si>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</si>
  <si>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</si>
  <si>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</si>
  <si>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</si>
  <si>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</si>
  <si>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</si>
  <si>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</si>
  <si>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</si>
  <si>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</si>
  <si>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</si>
  <si>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</si>
  <si>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</si>
  <si>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</si>
  <si>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</si>
  <si>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</si>
  <si>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</si>
  <si>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</si>
  <si>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</si>
  <si>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</si>
  <si>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</si>
  <si>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</si>
  <si>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</si>
  <si>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</si>
  <si>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</si>
  <si>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</si>
  <si>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</si>
  <si>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</si>
  <si>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</si>
  <si>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</si>
  <si>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</si>
  <si>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</si>
  <si>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</si>
  <si>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</si>
  <si>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</si>
  <si>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</si>
  <si>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</si>
  <si>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</si>
  <si>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</si>
  <si>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</si>
  <si>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</si>
  <si>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</si>
  <si>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</si>
  <si>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</si>
  <si>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</si>
  <si>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</si>
  <si>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</si>
  <si>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</si>
  <si>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</si>
  <si>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</si>
  <si>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</si>
  <si>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</si>
  <si>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</si>
  <si>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</si>
  <si>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</si>
  <si>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</si>
  <si>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</si>
  <si>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</si>
  <si>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</si>
  <si>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</si>
  <si>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</si>
  <si>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</si>
  <si>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</si>
  <si>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</si>
  <si>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</si>
  <si>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</si>
  <si>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</si>
  <si>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</si>
  <si>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</si>
  <si>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</si>
  <si>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</si>
  <si>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</si>
  <si>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</si>
  <si>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</si>
  <si>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</si>
  <si>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</si>
  <si>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</si>
  <si>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</si>
  <si>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</si>
  <si>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</si>
  <si>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</si>
  <si>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</si>
  <si>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</si>
  <si>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</si>
  <si>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</si>
  <si>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</si>
  <si>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</si>
  <si>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</si>
  <si>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</si>
  <si>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</si>
  <si>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</si>
  <si>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</si>
  <si>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</si>
  <si>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</si>
  <si>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</si>
  <si>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</si>
  <si>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</si>
  <si>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</si>
  <si>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</si>
  <si>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</si>
  <si>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</si>
  <si>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</si>
  <si>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</si>
  <si>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</si>
  <si>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</si>
  <si>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</si>
  <si>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</si>
  <si>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</si>
  <si>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</si>
  <si>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</si>
  <si>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</si>
  <si>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</si>
  <si>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</si>
  <si>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</si>
  <si>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</si>
  <si>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</si>
  <si>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</si>
  <si>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</si>
  <si>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</si>
  <si>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</si>
  <si>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</si>
  <si>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</si>
  <si>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</si>
  <si>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</si>
  <si>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</si>
  <si>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</si>
  <si>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</si>
  <si>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</si>
  <si>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</si>
  <si>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</si>
  <si>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</si>
  <si>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</si>
  <si>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</si>
  <si>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</si>
  <si>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</si>
  <si>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</si>
  <si>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</si>
  <si>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</si>
  <si>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</si>
  <si>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</si>
  <si>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</si>
  <si>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</si>
  <si>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</si>
  <si>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</si>
  <si>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</si>
  <si>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</si>
  <si>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</si>
  <si>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</si>
  <si>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</si>
  <si>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</si>
  <si>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</si>
  <si>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</si>
  <si>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</si>
  <si>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</si>
  <si>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</si>
  <si>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</si>
  <si>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</si>
  <si>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</si>
  <si>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</si>
  <si>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</si>
  <si>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</si>
  <si>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</si>
  <si>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</si>
  <si>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</si>
  <si>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</si>
  <si>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</si>
  <si>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</si>
  <si>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</si>
  <si>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</si>
  <si>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</si>
  <si>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</si>
  <si>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</si>
  <si>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</si>
  <si>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</si>
  <si>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</si>
  <si>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</si>
  <si>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</si>
  <si>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</si>
  <si>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</si>
  <si>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</si>
  <si>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</si>
  <si>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</si>
  <si>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</si>
  <si>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</si>
  <si>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</si>
  <si>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</si>
  <si>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</si>
  <si>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</si>
  <si>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</si>
  <si>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</si>
  <si>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</si>
  <si>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</si>
  <si>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</si>
  <si>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</si>
  <si>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</si>
  <si>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</si>
  <si>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</si>
  <si>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</si>
  <si>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</si>
  <si>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</si>
  <si>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</si>
  <si>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</si>
  <si>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</si>
  <si>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</si>
  <si>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</si>
  <si>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</si>
  <si>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</si>
  <si>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</si>
  <si>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</si>
  <si>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</si>
  <si>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</si>
  <si>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</si>
  <si>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</si>
  <si>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</si>
  <si>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</si>
  <si>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</si>
  <si>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</si>
  <si>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</si>
  <si>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</si>
  <si>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</si>
  <si>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</si>
  <si>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</si>
  <si>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</si>
  <si>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</si>
  <si>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</si>
  <si>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</si>
  <si>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</si>
  <si>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</si>
  <si>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</si>
  <si>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</si>
  <si>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</si>
  <si>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</si>
  <si>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</si>
  <si>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</si>
  <si>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</si>
  <si>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</si>
  <si>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</si>
  <si>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</si>
  <si>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</si>
  <si>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</si>
  <si>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</si>
  <si>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</si>
  <si>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</si>
  <si>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</si>
  <si>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</si>
  <si>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</si>
  <si>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</si>
  <si>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</si>
  <si>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</si>
  <si>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</si>
  <si>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</si>
  <si>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</si>
  <si>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</si>
  <si>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</si>
  <si>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</si>
  <si>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</si>
  <si>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</si>
  <si>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</si>
  <si>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</si>
  <si>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</si>
  <si>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</si>
  <si>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</si>
  <si>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</si>
  <si>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</si>
  <si>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</si>
  <si>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</si>
  <si>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</si>
  <si>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</si>
  <si>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</si>
  <si>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</si>
  <si>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</si>
  <si>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</si>
  <si>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</si>
  <si>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</si>
  <si>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</si>
  <si>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</si>
  <si>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</si>
  <si>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</si>
  <si>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</si>
  <si>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</si>
  <si>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</si>
  <si>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</si>
  <si>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</si>
  <si>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</si>
  <si>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</si>
  <si>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</si>
  <si>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</si>
  <si>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</si>
  <si>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</si>
  <si>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</si>
  <si>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</si>
  <si>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</si>
  <si>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</si>
  <si>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</si>
  <si>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</si>
  <si>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</si>
  <si>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</si>
  <si>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</si>
  <si>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</si>
  <si>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</si>
  <si>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</si>
  <si>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</si>
  <si>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</si>
  <si>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</si>
  <si>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</si>
  <si>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</si>
  <si>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</si>
  <si>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</si>
  <si>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</si>
  <si>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</si>
  <si>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</si>
  <si>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</si>
  <si>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</si>
  <si>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</si>
  <si>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</si>
  <si>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</si>
  <si>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</si>
  <si>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</si>
  <si>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</si>
  <si>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</si>
  <si>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</si>
  <si>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</si>
  <si>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</si>
  <si>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</si>
  <si>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</si>
  <si>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</si>
  <si>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</si>
  <si>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</si>
  <si>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</si>
  <si>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</si>
  <si>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</si>
  <si>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</si>
  <si>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</si>
  <si>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</si>
  <si>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</si>
  <si>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</si>
  <si>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</si>
  <si>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</si>
  <si>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</si>
  <si>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</si>
  <si>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</si>
  <si>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</si>
  <si>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</si>
  <si>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</si>
  <si>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</si>
  <si>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</si>
  <si>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</si>
  <si>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</si>
  <si>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</si>
  <si>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</si>
  <si>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</si>
  <si>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</si>
  <si>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</si>
  <si>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</si>
  <si>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</si>
  <si>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</si>
  <si>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</si>
  <si>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</si>
  <si>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</si>
  <si>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</si>
  <si>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</si>
  <si>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</si>
  <si>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</si>
  <si>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</si>
  <si>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</si>
  <si>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</si>
  <si>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</si>
  <si>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</si>
  <si>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</si>
  <si>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</si>
  <si>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</si>
  <si>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</si>
  <si>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</si>
  <si>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</si>
  <si>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</si>
  <si>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</si>
  <si>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</si>
  <si>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</si>
  <si>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</si>
  <si>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</si>
  <si>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</si>
  <si>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</si>
  <si>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</si>
  <si>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</si>
  <si>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</si>
  <si>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</si>
  <si>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</si>
  <si>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</si>
  <si>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</si>
  <si>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</si>
  <si>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</si>
  <si>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</si>
  <si>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</si>
  <si>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</si>
  <si>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</si>
  <si>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</si>
  <si>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</si>
  <si>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</si>
  <si>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</si>
  <si>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</si>
  <si>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</si>
  <si>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</si>
  <si>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</si>
  <si>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</si>
  <si>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</si>
  <si>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</si>
  <si>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</si>
  <si>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</si>
  <si>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</si>
  <si>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</si>
  <si>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</si>
  <si>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</si>
  <si>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</si>
  <si>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</si>
  <si>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</si>
  <si>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</si>
  <si>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</si>
  <si>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</si>
  <si>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</si>
  <si>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</si>
  <si>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</si>
  <si>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</si>
  <si>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</si>
  <si>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</si>
  <si>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</si>
  <si>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</si>
  <si>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</si>
  <si>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</si>
  <si>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</si>
  <si>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</si>
  <si>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</si>
  <si>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</si>
  <si>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</si>
  <si>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</si>
  <si>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</si>
  <si>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</si>
  <si>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</si>
  <si>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</si>
  <si>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</si>
  <si>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</si>
  <si>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</si>
  <si>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</si>
  <si>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</si>
  <si>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</si>
  <si>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</si>
  <si>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</si>
  <si>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</si>
  <si>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</si>
  <si>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</si>
  <si>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</si>
  <si>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</si>
  <si>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</si>
  <si>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</si>
  <si>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</si>
  <si>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</si>
  <si>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</si>
  <si>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</si>
  <si>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</si>
  <si>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</si>
  <si>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</si>
  <si>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</si>
  <si>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</si>
  <si>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</si>
  <si>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</si>
  <si>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</si>
  <si>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</si>
  <si>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</si>
  <si>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</si>
  <si>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</si>
  <si>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</si>
  <si>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</si>
  <si>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</si>
  <si>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</si>
  <si>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</si>
  <si>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</si>
  <si>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</si>
  <si>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</si>
  <si>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</si>
  <si>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</si>
  <si>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</si>
  <si>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</si>
  <si>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</si>
  <si>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</si>
  <si>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</si>
  <si>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</si>
  <si>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</si>
  <si>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</si>
  <si>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</si>
  <si>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</si>
  <si>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</si>
  <si>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</si>
  <si>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</si>
  <si>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</si>
  <si>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</si>
  <si>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</si>
  <si>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</si>
  <si>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</si>
  <si>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</si>
  <si>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</si>
  <si>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</si>
  <si>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</si>
  <si>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</si>
  <si>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</si>
  <si>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</si>
  <si>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</si>
  <si>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</si>
  <si>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</si>
  <si>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</si>
  <si>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</si>
  <si>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</si>
  <si>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</si>
  <si>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</si>
  <si>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</si>
  <si>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</si>
  <si>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</si>
  <si>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</si>
  <si>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</si>
  <si>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</si>
  <si>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</si>
  <si>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</si>
  <si>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</si>
  <si>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</si>
  <si>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</si>
  <si>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</si>
  <si>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</si>
  <si>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</si>
  <si>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</si>
  <si>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</si>
  <si>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</si>
  <si>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</si>
  <si>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</si>
  <si>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</si>
  <si>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</si>
  <si>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</si>
  <si>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</si>
  <si>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</si>
  <si>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</si>
  <si>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</si>
  <si>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</si>
  <si>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</si>
  <si>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</si>
  <si>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</si>
  <si>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</si>
  <si>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</si>
  <si>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</si>
  <si>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</si>
  <si>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</si>
  <si>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</si>
  <si>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</si>
  <si>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</si>
  <si>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</si>
  <si>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</si>
  <si>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</si>
  <si>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</si>
  <si>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</si>
  <si>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</si>
  <si>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</si>
  <si>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</si>
  <si>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</si>
  <si>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</si>
  <si>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</si>
  <si>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</si>
  <si>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</si>
  <si>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</si>
  <si>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</si>
  <si>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</si>
  <si>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</si>
  <si>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</si>
  <si>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</si>
  <si>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</si>
  <si>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</si>
  <si>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</si>
  <si>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</si>
  <si>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</si>
  <si>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</si>
  <si>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</si>
  <si>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</si>
  <si>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</si>
  <si>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</si>
  <si>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</si>
  <si>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</si>
  <si>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</si>
  <si>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</si>
  <si>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</si>
  <si>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</si>
  <si>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</si>
  <si>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</si>
  <si>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</si>
  <si>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</si>
  <si>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</si>
  <si>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</si>
  <si>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</si>
  <si>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</si>
  <si>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</si>
  <si>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</si>
  <si>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</si>
  <si>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</si>
  <si>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</si>
  <si>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</si>
  <si>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</si>
  <si>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</si>
  <si>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</si>
  <si>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</si>
  <si>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</si>
  <si>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</si>
  <si>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</si>
  <si>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</si>
  <si>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</si>
  <si>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</si>
  <si>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</si>
  <si>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</si>
  <si>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</si>
  <si>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</si>
  <si>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</si>
  <si>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</si>
  <si>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</si>
  <si>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</si>
  <si>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</si>
  <si>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</si>
  <si>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</si>
  <si>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</si>
  <si>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</si>
  <si>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</si>
  <si>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</si>
  <si>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</si>
  <si>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</si>
  <si>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</si>
  <si>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</si>
  <si>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</si>
  <si>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</si>
  <si>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</si>
  <si>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</si>
  <si>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</si>
  <si>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</si>
  <si>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</si>
  <si>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</si>
  <si>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</si>
  <si>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</si>
  <si>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</si>
  <si>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</si>
  <si>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</si>
  <si>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</si>
  <si>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</si>
  <si>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</si>
  <si>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</si>
  <si>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</si>
  <si>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</si>
  <si>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</si>
  <si>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</si>
  <si>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</si>
  <si>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</si>
  <si>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</si>
  <si>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</si>
  <si>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</si>
  <si>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</si>
  <si>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</si>
  <si>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</si>
  <si>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</si>
  <si>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</si>
  <si>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</si>
  <si>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</si>
  <si>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</si>
  <si>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</si>
  <si>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</si>
  <si>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</si>
  <si>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</si>
  <si>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</si>
  <si>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</si>
  <si>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</si>
  <si>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</si>
  <si>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</si>
  <si>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</si>
  <si>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</si>
  <si>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</si>
  <si>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</si>
  <si>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</si>
  <si>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</si>
  <si>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</si>
  <si>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</si>
  <si>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</si>
  <si>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</si>
  <si>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</si>
  <si>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</si>
  <si>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</si>
  <si>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</si>
  <si>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</si>
  <si>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</si>
  <si>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</si>
  <si>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</si>
  <si>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</si>
  <si>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</si>
  <si>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</si>
  <si>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</si>
  <si>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</si>
  <si>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</si>
  <si>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</si>
  <si>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</si>
  <si>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</si>
  <si>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</si>
  <si>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</si>
  <si>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</si>
  <si>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</si>
  <si>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</si>
  <si>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</si>
  <si>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</si>
  <si>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</si>
  <si>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</si>
  <si>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</si>
  <si>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</si>
  <si>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</si>
  <si>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</si>
  <si>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</si>
  <si>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</si>
  <si>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</si>
  <si>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</si>
  <si>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</si>
  <si>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</si>
  <si>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</si>
  <si>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</si>
  <si>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</si>
  <si>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</si>
  <si>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</si>
  <si>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</si>
  <si>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</si>
  <si>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</si>
  <si>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</si>
  <si>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</si>
  <si>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</si>
  <si>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</si>
  <si>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</si>
  <si>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</si>
  <si>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</si>
  <si>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</si>
  <si>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</si>
  <si>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</si>
  <si>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</si>
  <si>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</si>
  <si>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</si>
  <si>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</si>
  <si>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</si>
  <si>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</si>
  <si>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</si>
  <si>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</si>
  <si>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</si>
  <si>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</si>
  <si>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</si>
  <si>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</si>
  <si>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</si>
  <si>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</si>
  <si>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</si>
  <si>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</si>
  <si>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</si>
  <si>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</si>
  <si>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</si>
  <si>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</si>
  <si>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</si>
  <si>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</si>
  <si>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</si>
  <si>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</si>
  <si>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</si>
  <si>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</si>
  <si>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</si>
  <si>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</si>
  <si>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</si>
  <si>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</si>
  <si>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</si>
  <si>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</si>
  <si>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</si>
  <si>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</si>
  <si>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</si>
  <si>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</si>
  <si>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</si>
  <si>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</si>
  <si>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</si>
  <si>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</si>
  <si>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</si>
  <si>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</si>
  <si>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</si>
  <si>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</si>
  <si>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</si>
  <si>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</si>
  <si>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</si>
  <si>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</si>
  <si>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</si>
  <si>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</si>
  <si>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</si>
  <si>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</si>
  <si>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</si>
  <si>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</si>
  <si>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</si>
  <si>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</si>
  <si>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</si>
  <si>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</si>
  <si>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</si>
  <si>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</si>
  <si>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</si>
  <si>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</si>
  <si>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</si>
  <si>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</si>
  <si>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</si>
  <si>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</si>
  <si>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</si>
  <si>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</si>
  <si>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</si>
  <si>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</si>
  <si>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</si>
  <si>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</si>
  <si>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</si>
  <si>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</si>
  <si>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</si>
  <si>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</si>
  <si>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</si>
  <si>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</si>
  <si>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</si>
  <si>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</si>
  <si>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</si>
  <si>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</si>
  <si>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</si>
  <si>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</si>
  <si>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</si>
  <si>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</si>
  <si>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</si>
  <si>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</si>
  <si>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</si>
  <si>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</si>
  <si>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</si>
  <si>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</si>
  <si>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</si>
  <si>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</si>
  <si>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</si>
  <si>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</si>
  <si>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</si>
  <si>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</si>
  <si>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</si>
  <si>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</si>
  <si>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</si>
  <si>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</si>
  <si>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</si>
  <si>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</si>
  <si>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</si>
  <si>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</si>
  <si>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</si>
  <si>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</si>
  <si>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</si>
  <si>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</si>
  <si>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</si>
  <si>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</si>
  <si>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</si>
  <si>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</si>
  <si>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</si>
  <si>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</si>
  <si>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</si>
  <si>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</si>
  <si>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</si>
  <si>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</si>
  <si>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</si>
  <si>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</si>
  <si>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</si>
  <si>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</si>
  <si>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</si>
  <si>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</si>
  <si>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</si>
  <si>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</si>
  <si>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</si>
  <si>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</si>
  <si>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</si>
  <si>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</si>
  <si>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</si>
  <si>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</si>
  <si>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</si>
  <si>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</si>
  <si>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</si>
  <si>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</si>
  <si>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</si>
  <si>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</si>
  <si>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</si>
  <si>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</si>
  <si>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</si>
  <si>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</si>
  <si>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</si>
  <si>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</si>
  <si>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</si>
  <si>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</si>
  <si>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</si>
  <si>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</si>
  <si>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</si>
  <si>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</si>
  <si>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</si>
  <si>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</si>
  <si>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</si>
  <si>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</si>
  <si>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</si>
  <si>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</si>
  <si>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</si>
  <si>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</si>
  <si>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</si>
  <si>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</si>
  <si>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</si>
  <si>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</si>
  <si>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</si>
  <si>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</si>
  <si>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</si>
  <si>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</si>
  <si>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</si>
  <si>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</si>
  <si>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</si>
  <si>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</si>
  <si>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</si>
  <si>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</si>
  <si>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</si>
  <si>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</si>
  <si>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</si>
  <si>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</si>
  <si>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</si>
  <si>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</si>
  <si>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</si>
  <si>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</si>
  <si>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</si>
  <si>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</si>
  <si>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</si>
  <si>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</si>
  <si>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</si>
  <si>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</si>
  <si>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</si>
  <si>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</si>
  <si>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</si>
  <si>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</si>
  <si>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</si>
  <si>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</si>
  <si>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</si>
  <si>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</si>
  <si>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</si>
  <si>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</si>
  <si>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</si>
  <si>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</si>
  <si>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</si>
  <si>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</si>
  <si>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</si>
  <si>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</si>
  <si>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</si>
  <si>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</si>
  <si>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</si>
  <si>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</si>
  <si>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</si>
  <si>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</si>
  <si>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</si>
  <si>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</si>
  <si>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</si>
  <si>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</si>
  <si>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</si>
  <si>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</si>
  <si>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</si>
  <si>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</si>
  <si>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</si>
  <si>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</si>
  <si>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</si>
  <si>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</si>
  <si>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</si>
  <si>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</si>
  <si>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</si>
  <si>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</si>
  <si>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</si>
  <si>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</si>
  <si>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</si>
  <si>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</si>
  <si>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</si>
  <si>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</si>
  <si>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</si>
  <si>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</si>
  <si>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</si>
  <si>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</si>
  <si>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</si>
  <si>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</si>
  <si>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</si>
  <si>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</si>
  <si>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</si>
  <si>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</si>
  <si>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</si>
  <si>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</si>
  <si>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</si>
  <si>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</si>
  <si>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</si>
  <si>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</si>
  <si>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</si>
  <si>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</si>
  <si>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</si>
  <si>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</si>
  <si>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</si>
  <si>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</si>
  <si>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</si>
  <si>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</si>
  <si>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</si>
  <si>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</si>
  <si>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</si>
  <si>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</si>
  <si>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</si>
  <si>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</si>
  <si>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</si>
  <si>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</si>
  <si>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</si>
  <si>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</si>
  <si>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</si>
  <si>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</si>
  <si>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</si>
  <si>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</si>
  <si>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</si>
  <si>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</si>
  <si>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</si>
  <si>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</si>
  <si>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</si>
  <si>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</si>
  <si>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</si>
  <si>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</si>
  <si>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</si>
  <si>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</si>
  <si>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</si>
  <si>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</si>
  <si>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</si>
  <si>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</si>
  <si>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</si>
  <si>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</si>
  <si>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</si>
  <si>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</si>
  <si>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</si>
  <si>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</si>
  <si>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</si>
  <si>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</si>
  <si>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</si>
  <si>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</si>
  <si>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</si>
  <si>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</si>
  <si>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</si>
  <si>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</si>
  <si>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</si>
  <si>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</si>
  <si>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</si>
  <si>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</si>
  <si>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</si>
  <si>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</si>
  <si>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</si>
  <si>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</si>
  <si>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</si>
  <si>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</si>
  <si>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</si>
  <si>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</si>
  <si>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</si>
  <si>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</si>
  <si>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</si>
  <si>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</si>
  <si>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</si>
  <si>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</si>
  <si>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</si>
  <si>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</si>
  <si>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</si>
  <si>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</si>
  <si>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</si>
  <si>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</si>
  <si>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</si>
  <si>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</si>
  <si>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</si>
  <si>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</si>
  <si>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</si>
  <si>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</si>
  <si>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</si>
  <si>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</si>
  <si>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</si>
  <si>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</si>
  <si>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</si>
  <si>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</si>
  <si>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</si>
  <si>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</si>
  <si>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</si>
  <si>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</si>
  <si>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</si>
  <si>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</si>
  <si>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</si>
  <si>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</si>
  <si>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</si>
  <si>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</si>
  <si>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</si>
  <si>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</si>
  <si>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</si>
  <si>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</si>
  <si>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</si>
  <si>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</si>
  <si>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</si>
  <si>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</si>
  <si>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</si>
  <si>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</si>
  <si>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</si>
  <si>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</si>
  <si>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</si>
  <si>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</si>
  <si>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</si>
  <si>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</si>
  <si>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</si>
  <si>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</si>
  <si>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</si>
  <si>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</si>
  <si>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</si>
  <si>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</si>
  <si>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</si>
  <si>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</si>
  <si>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</si>
  <si>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</si>
  <si>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</si>
  <si>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</si>
  <si>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</si>
  <si>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</si>
  <si>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</si>
  <si>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</si>
  <si>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</si>
  <si>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</si>
  <si>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</si>
  <si>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</si>
  <si>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</si>
  <si>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</si>
  <si>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</si>
  <si>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</si>
  <si>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</si>
  <si>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</si>
  <si>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</si>
  <si>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</si>
  <si>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</si>
  <si>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</si>
  <si>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</si>
  <si>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</si>
  <si>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</si>
  <si>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</si>
  <si>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</si>
  <si>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</si>
  <si>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</si>
  <si>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</si>
  <si>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</si>
  <si>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</si>
  <si>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</si>
  <si>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</si>
  <si>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</si>
  <si>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</si>
  <si>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</si>
  <si>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</si>
  <si>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</si>
  <si>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</si>
  <si>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</si>
  <si>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</si>
  <si>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</si>
  <si>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</si>
  <si>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</si>
  <si>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</si>
  <si>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</si>
  <si>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</si>
  <si>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</si>
  <si>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</si>
  <si>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</si>
  <si>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</si>
  <si>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</si>
  <si>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</si>
  <si>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</si>
  <si>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</si>
  <si>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</si>
  <si>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</si>
  <si>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</si>
  <si>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</si>
  <si>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</si>
  <si>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</si>
  <si>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</si>
  <si>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</si>
  <si>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</si>
  <si>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</si>
  <si>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</si>
  <si>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</si>
  <si>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</si>
  <si>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</si>
  <si>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</si>
  <si>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</si>
  <si>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</si>
  <si>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</si>
  <si>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</si>
  <si>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</si>
  <si>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</si>
  <si>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</si>
  <si>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</si>
  <si>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</si>
  <si>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</si>
  <si>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</si>
  <si>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</si>
  <si>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</si>
  <si>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</si>
  <si>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</si>
  <si>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</si>
  <si>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</si>
  <si>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</si>
  <si>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</si>
  <si>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</si>
  <si>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</si>
  <si>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</si>
  <si>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</si>
  <si>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</si>
  <si>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</si>
  <si>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</si>
  <si>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</si>
  <si>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</si>
  <si>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</si>
  <si>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</si>
  <si>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</si>
  <si>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</si>
  <si>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</si>
  <si>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</si>
  <si>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</si>
  <si>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</si>
  <si>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</si>
  <si>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</si>
  <si>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</si>
  <si>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</si>
  <si>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</si>
  <si>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</si>
  <si>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</si>
  <si>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</si>
  <si>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</si>
  <si>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</si>
  <si>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</si>
  <si>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</si>
  <si>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</si>
  <si>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</si>
  <si>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</si>
  <si>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</si>
  <si>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</si>
  <si>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</si>
  <si>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</si>
  <si>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</si>
  <si>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</si>
  <si>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</si>
  <si>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</si>
  <si>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</si>
  <si>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</si>
  <si>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</si>
  <si>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</si>
  <si>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</si>
  <si>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</si>
  <si>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</si>
  <si>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</si>
  <si>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</si>
  <si>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</si>
  <si>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</si>
  <si>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</si>
  <si>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</si>
  <si>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</si>
  <si>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</si>
  <si>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</si>
  <si>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</si>
  <si>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</si>
  <si>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</si>
  <si>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</si>
  <si>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</si>
  <si>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</si>
  <si>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</si>
  <si>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</si>
  <si>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</si>
  <si>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</si>
  <si>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</si>
  <si>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</si>
  <si>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</si>
  <si>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</si>
  <si>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</si>
  <si>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</si>
  <si>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</si>
  <si>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</si>
  <si>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</si>
  <si>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</si>
  <si>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</si>
  <si>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</si>
  <si>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</si>
  <si>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</si>
  <si>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</si>
  <si>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</si>
  <si>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</si>
  <si>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</si>
  <si>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</si>
  <si>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</si>
  <si>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</si>
  <si>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</si>
  <si>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</si>
  <si>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</si>
  <si>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</si>
  <si>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</si>
  <si>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</si>
  <si>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</si>
  <si>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</si>
  <si>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</si>
  <si>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</si>
  <si>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</si>
  <si>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</si>
  <si>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</si>
  <si>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</si>
  <si>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</si>
  <si>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</si>
  <si>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</si>
  <si>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</si>
  <si>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</si>
  <si>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</si>
  <si>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</si>
  <si>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</si>
  <si>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</si>
  <si>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</si>
  <si>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</si>
  <si>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</si>
  <si>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</si>
  <si>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</si>
  <si>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</si>
  <si>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</si>
  <si>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</si>
  <si>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</si>
  <si>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</si>
  <si>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</si>
  <si>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</si>
  <si>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</si>
  <si>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</si>
  <si>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</si>
  <si>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</si>
  <si>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</si>
  <si>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</si>
  <si>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</si>
  <si>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</si>
  <si>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</si>
  <si>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</si>
  <si>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</si>
  <si>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</si>
  <si>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</si>
  <si>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</si>
  <si>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</si>
  <si>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</si>
  <si>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</si>
  <si>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</si>
  <si>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</si>
  <si>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</si>
  <si>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</si>
  <si>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</si>
  <si>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</si>
  <si>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</si>
  <si>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</si>
  <si>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</si>
  <si>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</si>
  <si>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</si>
  <si>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</si>
  <si>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</si>
  <si>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</si>
  <si>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</si>
  <si>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</si>
  <si>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</si>
  <si>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</si>
  <si>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</si>
  <si>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</si>
  <si>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</si>
  <si>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</si>
  <si>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</si>
  <si>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</si>
  <si>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</si>
  <si>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</si>
  <si>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</si>
  <si>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</si>
  <si>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</si>
  <si>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</si>
  <si>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</si>
  <si>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</si>
  <si>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</si>
  <si>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</si>
  <si>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</si>
  <si>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</si>
  <si>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</si>
  <si>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</si>
  <si>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</si>
  <si>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</si>
  <si>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</si>
  <si>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</si>
  <si>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</si>
  <si>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</si>
  <si>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</si>
  <si>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</si>
  <si>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</si>
  <si>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</si>
  <si>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</si>
  <si>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</si>
  <si>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</si>
  <si>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</si>
  <si>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</si>
  <si>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</si>
  <si>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</si>
  <si>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</si>
  <si>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</si>
  <si>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</si>
  <si>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</si>
  <si>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</si>
  <si>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</si>
  <si>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</si>
  <si>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</si>
  <si>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</si>
  <si>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</si>
  <si>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</si>
  <si>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</si>
  <si>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</si>
  <si>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</si>
  <si>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</si>
  <si>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</si>
  <si>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</si>
  <si>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</si>
  <si>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</si>
  <si>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</si>
  <si>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</si>
  <si>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</si>
  <si>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</si>
  <si>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</si>
  <si>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</si>
  <si>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</si>
  <si>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</si>
  <si>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</si>
  <si>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</si>
  <si>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</si>
  <si>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</si>
  <si>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</si>
  <si>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</si>
  <si>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</si>
  <si>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</si>
  <si>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</si>
  <si>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</si>
  <si>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</si>
  <si>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</si>
  <si>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</si>
  <si>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</si>
  <si>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</si>
  <si>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</si>
  <si>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</si>
  <si>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</si>
  <si>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</si>
  <si>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</si>
  <si>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</si>
  <si>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</si>
  <si>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</si>
  <si>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</si>
  <si>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</si>
  <si>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</si>
  <si>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</si>
  <si>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</si>
  <si>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</si>
  <si>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</si>
  <si>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</si>
  <si>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</si>
  <si>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</si>
  <si>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</si>
  <si>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</si>
  <si>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</si>
  <si>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</si>
  <si>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</si>
  <si>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</si>
  <si>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</si>
  <si>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</si>
  <si>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</si>
  <si>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</si>
  <si>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</si>
  <si>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</si>
  <si>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</si>
  <si>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</si>
  <si>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</si>
  <si>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</si>
  <si>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</si>
  <si>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</si>
  <si>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</si>
  <si>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</si>
  <si>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</si>
  <si>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</si>
  <si>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</si>
  <si>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</si>
  <si>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</si>
  <si>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</si>
  <si>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</si>
  <si>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</si>
  <si>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</si>
  <si>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</si>
  <si>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</si>
  <si>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</si>
  <si>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</si>
  <si>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</si>
  <si>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</si>
  <si>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</si>
  <si>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</si>
  <si>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</si>
  <si>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</si>
  <si>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</si>
  <si>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</si>
  <si>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</si>
  <si>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</si>
  <si>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</si>
  <si>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</si>
  <si>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</si>
  <si>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</si>
  <si>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</si>
  <si>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</si>
  <si>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</si>
  <si>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</si>
  <si>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</si>
  <si>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</si>
  <si>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</si>
  <si>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</si>
  <si>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</si>
  <si>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</si>
  <si>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</si>
  <si>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</si>
  <si>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</si>
  <si>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</si>
  <si>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</si>
  <si>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</si>
  <si>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</si>
  <si>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</si>
  <si>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</si>
  <si>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</si>
  <si>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</si>
  <si>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</si>
  <si>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</si>
  <si>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</si>
  <si>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</si>
  <si>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</si>
  <si>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</si>
  <si>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</si>
  <si>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</si>
  <si>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</si>
  <si>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</si>
  <si>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</si>
  <si>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</si>
  <si>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</si>
  <si>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</si>
  <si>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</si>
  <si>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</si>
  <si>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</si>
  <si>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</si>
  <si>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</si>
  <si>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</si>
  <si>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</si>
  <si>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</si>
  <si>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</si>
  <si>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</si>
  <si>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</si>
  <si>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</si>
  <si>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</si>
  <si>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</si>
  <si>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</si>
  <si>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</si>
  <si>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</si>
  <si>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</si>
  <si>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</si>
  <si>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</si>
  <si>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</si>
  <si>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</si>
  <si>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</si>
  <si>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</si>
  <si>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</si>
  <si>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</si>
  <si>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</si>
  <si>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</si>
  <si>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</si>
  <si>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</si>
  <si>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</si>
  <si>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</si>
  <si>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</si>
  <si>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</si>
  <si>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</si>
  <si>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</si>
  <si>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</si>
  <si>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</si>
  <si>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</si>
  <si>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</si>
  <si>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</si>
  <si>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</si>
  <si>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</si>
  <si>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</si>
  <si>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</si>
  <si>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</si>
  <si>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</si>
  <si>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</si>
  <si>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</si>
  <si>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</si>
  <si>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</si>
  <si>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</si>
  <si>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</si>
  <si>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</si>
  <si>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</si>
  <si>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</si>
  <si>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</si>
  <si>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</si>
  <si>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</si>
  <si>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</si>
  <si>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</si>
  <si>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</si>
  <si>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</si>
  <si>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</si>
  <si>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</si>
  <si>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</si>
  <si>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</si>
  <si>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</si>
  <si>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</si>
  <si>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</si>
  <si>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</si>
  <si>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</si>
  <si>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</si>
  <si>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</si>
  <si>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</si>
  <si>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</si>
  <si>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</si>
  <si>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</si>
  <si>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</si>
  <si>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</si>
  <si>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</si>
  <si>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</si>
  <si>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</si>
  <si>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</si>
  <si>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</si>
  <si>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</si>
  <si>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</si>
  <si>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</si>
  <si>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</si>
  <si>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</si>
  <si>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</si>
  <si>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</si>
  <si>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</si>
  <si>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</si>
  <si>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</si>
  <si>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</si>
  <si>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</si>
  <si>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</si>
  <si>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</si>
  <si>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</si>
  <si>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</si>
  <si>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</si>
  <si>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</si>
  <si>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</si>
  <si>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</si>
  <si>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</si>
  <si>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</si>
  <si>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</si>
  <si>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</si>
  <si>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</si>
  <si>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</si>
  <si>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</si>
  <si>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</si>
  <si>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</si>
  <si>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</si>
  <si>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</si>
  <si>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</si>
  <si>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</si>
  <si>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</si>
  <si>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</si>
  <si>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</si>
  <si>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</si>
  <si>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</si>
  <si>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</si>
  <si>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</si>
  <si>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</si>
  <si>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</si>
  <si>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</si>
  <si>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</si>
  <si>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</si>
  <si>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</si>
  <si>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</si>
  <si>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</si>
  <si>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</si>
  <si>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</si>
  <si>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</si>
  <si>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</si>
  <si>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</si>
  <si>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</si>
  <si>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</si>
  <si>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</si>
  <si>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</si>
  <si>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</si>
  <si>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</si>
  <si>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</si>
  <si>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</si>
  <si>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</si>
  <si>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</si>
  <si>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</si>
  <si>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</si>
  <si>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</si>
  <si>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</si>
  <si>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</si>
  <si>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</si>
  <si>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</si>
  <si>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</si>
  <si>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</si>
  <si>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LaSalle</t>
  </si>
  <si>
    <t>Starved Rock Associates for Vocational and Technical Education</t>
  </si>
  <si>
    <t>200 Ninth Street</t>
  </si>
  <si>
    <t>Peru</t>
  </si>
  <si>
    <t>Dwayne Mentgen</t>
  </si>
  <si>
    <t>815-220-8195</t>
  </si>
  <si>
    <t>815-220-8267</t>
  </si>
  <si>
    <t>Sikich LLP</t>
  </si>
  <si>
    <t>Brian LeFevre</t>
  </si>
  <si>
    <t>1415 W. Diehl Rd, Suite 400</t>
  </si>
  <si>
    <t>Naperville</t>
  </si>
  <si>
    <t>IL</t>
  </si>
  <si>
    <t>630-566-8505</t>
  </si>
  <si>
    <t>630-499-5885</t>
  </si>
  <si>
    <t>065-028451</t>
  </si>
  <si>
    <t>brian.lefevre@sikich.com</t>
  </si>
  <si>
    <t>1993 - Local Assessments</t>
  </si>
  <si>
    <t>2300 - Area Career Center</t>
  </si>
  <si>
    <t>4799 - Carl Perkins Direct Grant and Carl Perkins IVCC flowthrough grant</t>
  </si>
  <si>
    <t>dmentgen@lphs.net</t>
  </si>
  <si>
    <t>None</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</si>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</sst>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EF7E3487-43C9-445F-9B0F-B95DFDBE7F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3" zoomScaleNormal="10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9" t="s">
        <v>425</v>
      </c>
      <c r="J1" s="2000"/>
      <c r="K1" s="2000"/>
      <c r="L1" s="2000"/>
      <c r="M1" s="2000"/>
      <c r="N1" s="2000"/>
      <c r="O1" s="2000"/>
      <c r="P1" s="2000"/>
      <c r="Q1" s="2000"/>
      <c r="R1" s="2000"/>
      <c r="S1" s="2000"/>
    </row>
    <row r="2" spans="1:28" ht="12" customHeight="1" x14ac:dyDescent="0.2">
      <c r="A2" s="47" t="s">
        <v>1684</v>
      </c>
      <c r="D2" s="48"/>
      <c r="I2" s="2001" t="s">
        <v>1036</v>
      </c>
      <c r="J2" s="2000"/>
      <c r="K2" s="2000"/>
      <c r="L2" s="2000"/>
      <c r="M2" s="2000"/>
      <c r="N2" s="2000"/>
      <c r="O2" s="2000"/>
      <c r="P2" s="2000"/>
      <c r="Q2" s="2000"/>
      <c r="R2" s="2000"/>
      <c r="S2" s="2000"/>
    </row>
    <row r="3" spans="1:28" ht="12" customHeight="1" x14ac:dyDescent="0.2">
      <c r="A3" s="155" t="s">
        <v>1685</v>
      </c>
      <c r="B3" s="156"/>
      <c r="C3" s="156"/>
      <c r="D3" s="157"/>
      <c r="I3" s="2001" t="s">
        <v>54</v>
      </c>
      <c r="J3" s="2000"/>
      <c r="K3" s="2000"/>
      <c r="L3" s="2000"/>
      <c r="M3" s="2000"/>
      <c r="N3" s="2000"/>
      <c r="O3" s="2000"/>
      <c r="P3" s="2000"/>
      <c r="Q3" s="2000"/>
      <c r="R3" s="2000"/>
      <c r="S3" s="2000"/>
    </row>
    <row r="4" spans="1:28" ht="12" customHeight="1" x14ac:dyDescent="0.2">
      <c r="A4" s="37"/>
      <c r="I4" s="2001" t="s">
        <v>545</v>
      </c>
      <c r="J4" s="2000"/>
      <c r="K4" s="2000"/>
      <c r="L4" s="2000"/>
      <c r="M4" s="2000"/>
      <c r="N4" s="2000"/>
      <c r="O4" s="2000"/>
      <c r="P4" s="2000"/>
      <c r="Q4" s="2000"/>
      <c r="R4" s="2000"/>
      <c r="S4" s="2000"/>
    </row>
    <row r="5" spans="1:28" ht="14.1" customHeight="1" x14ac:dyDescent="0.2">
      <c r="B5" s="104"/>
      <c r="C5" s="26" t="s">
        <v>966</v>
      </c>
      <c r="D5" s="84"/>
      <c r="E5" s="84"/>
      <c r="H5" s="38"/>
      <c r="I5" s="2009" t="s">
        <v>701</v>
      </c>
      <c r="J5" s="2008"/>
      <c r="K5" s="2008"/>
      <c r="L5" s="2008"/>
      <c r="M5" s="2008"/>
      <c r="N5" s="2008"/>
      <c r="O5" s="2008"/>
      <c r="P5" s="2008"/>
      <c r="Q5" s="2008"/>
      <c r="R5" s="2008"/>
      <c r="S5" s="2008"/>
    </row>
    <row r="6" spans="1:28" ht="14.1" customHeight="1" x14ac:dyDescent="0.2">
      <c r="B6" s="104" t="s">
        <v>2077</v>
      </c>
      <c r="C6" s="26" t="s">
        <v>967</v>
      </c>
      <c r="D6" s="84"/>
      <c r="E6" s="84"/>
      <c r="I6" s="2007" t="s">
        <v>938</v>
      </c>
      <c r="J6" s="2008"/>
      <c r="K6" s="2008"/>
      <c r="L6" s="2008"/>
      <c r="M6" s="2008"/>
      <c r="N6" s="2008"/>
      <c r="O6" s="2008"/>
      <c r="P6" s="2008"/>
      <c r="Q6" s="2008"/>
      <c r="R6" s="2008"/>
      <c r="S6" s="2008"/>
    </row>
    <row r="7" spans="1:28" ht="12.2" customHeight="1" x14ac:dyDescent="0.2">
      <c r="I7" s="2002">
        <v>43281</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695</v>
      </c>
      <c r="J9" s="2005"/>
      <c r="K9" s="2005"/>
      <c r="L9" s="2005"/>
      <c r="M9" s="2005"/>
      <c r="N9" s="2005"/>
      <c r="O9" s="2005"/>
      <c r="P9" s="2005"/>
      <c r="Q9" s="2005"/>
      <c r="R9" s="2005"/>
      <c r="S9" s="2006"/>
      <c r="T9" s="2020" t="s">
        <v>554</v>
      </c>
      <c r="U9" s="2021"/>
      <c r="V9" s="2021"/>
      <c r="W9" s="2021"/>
      <c r="X9" s="2021"/>
      <c r="Y9" s="2021"/>
      <c r="Z9" s="2021"/>
      <c r="AA9" s="2022"/>
    </row>
    <row r="10" spans="1:28" ht="13.5" customHeight="1" x14ac:dyDescent="0.2">
      <c r="A10" s="2027" t="s">
        <v>696</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1012</v>
      </c>
      <c r="B11" s="2031"/>
      <c r="C11" s="2031"/>
      <c r="D11" s="2031"/>
      <c r="E11" s="2031"/>
      <c r="F11" s="2031"/>
      <c r="G11" s="2031"/>
      <c r="H11" s="2032"/>
      <c r="I11" s="27"/>
      <c r="J11" s="74"/>
      <c r="K11" s="27"/>
      <c r="O11" s="148" t="s">
        <v>2077</v>
      </c>
      <c r="P11" s="100" t="s">
        <v>210</v>
      </c>
      <c r="Q11" s="30"/>
      <c r="R11" s="28"/>
      <c r="S11" s="27"/>
      <c r="T11" s="2024"/>
      <c r="U11" s="2025"/>
      <c r="V11" s="2025"/>
      <c r="W11" s="2025"/>
      <c r="X11" s="2025"/>
      <c r="Y11" s="2025"/>
      <c r="Z11" s="2025"/>
      <c r="AA11" s="202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4">
        <v>35050720045</v>
      </c>
      <c r="B13" s="2035"/>
      <c r="C13" s="2035"/>
      <c r="D13" s="2035"/>
      <c r="E13" s="2035"/>
      <c r="F13" s="2035"/>
      <c r="G13" s="2035"/>
      <c r="H13" s="2036"/>
      <c r="I13" s="31"/>
      <c r="J13" s="30"/>
      <c r="K13" s="28"/>
      <c r="L13" s="30"/>
      <c r="M13" s="30"/>
      <c r="N13" s="30"/>
      <c r="O13" s="30"/>
      <c r="P13" s="30"/>
      <c r="Q13" s="30"/>
      <c r="R13" s="30"/>
      <c r="S13" s="30"/>
      <c r="T13" s="2039" t="s">
        <v>2085</v>
      </c>
      <c r="U13" s="2040"/>
      <c r="V13" s="2040"/>
      <c r="W13" s="2040"/>
      <c r="X13" s="2040"/>
      <c r="Y13" s="2041"/>
      <c r="Z13" s="2041"/>
      <c r="AA13" s="204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3" t="s">
        <v>2078</v>
      </c>
      <c r="B15" s="2037"/>
      <c r="C15" s="2037"/>
      <c r="D15" s="2037"/>
      <c r="E15" s="2037"/>
      <c r="F15" s="2037"/>
      <c r="G15" s="2037"/>
      <c r="H15" s="2038"/>
      <c r="T15" s="2043" t="s">
        <v>2086</v>
      </c>
      <c r="U15" s="1987"/>
      <c r="V15" s="1987"/>
      <c r="W15" s="1987"/>
      <c r="X15" s="1987"/>
      <c r="Y15" s="2044"/>
      <c r="Z15" s="2044"/>
      <c r="AA15" s="204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3" t="s">
        <v>2079</v>
      </c>
      <c r="B17" s="1994"/>
      <c r="C17" s="1994"/>
      <c r="D17" s="1994"/>
      <c r="E17" s="1994"/>
      <c r="F17" s="1994"/>
      <c r="G17" s="1994"/>
      <c r="H17" s="2019"/>
      <c r="T17" s="2050" t="s">
        <v>2087</v>
      </c>
      <c r="U17" s="2051"/>
      <c r="V17" s="2051"/>
      <c r="W17" s="2051"/>
      <c r="X17" s="2051"/>
      <c r="Y17" s="2051"/>
      <c r="Z17" s="2051"/>
      <c r="AA17" s="2052"/>
    </row>
    <row r="18" spans="1:27" ht="13.5" customHeight="1" x14ac:dyDescent="0.2">
      <c r="A18" s="85" t="s">
        <v>551</v>
      </c>
      <c r="B18" s="76"/>
      <c r="C18" s="72"/>
      <c r="D18" s="76"/>
      <c r="E18" s="76"/>
      <c r="F18" s="76"/>
      <c r="G18" s="76"/>
      <c r="H18" s="56"/>
      <c r="I18" s="2018" t="s">
        <v>697</v>
      </c>
      <c r="J18" s="1969"/>
      <c r="K18" s="1969"/>
      <c r="L18" s="1969"/>
      <c r="M18" s="1969"/>
      <c r="N18" s="1969"/>
      <c r="O18" s="1969"/>
      <c r="P18" s="1969"/>
      <c r="Q18" s="1969"/>
      <c r="R18" s="1969"/>
      <c r="S18" s="1970"/>
      <c r="T18" s="85" t="s">
        <v>735</v>
      </c>
      <c r="U18" s="51"/>
      <c r="V18" s="72"/>
      <c r="W18" s="50"/>
      <c r="X18" s="85" t="s">
        <v>284</v>
      </c>
      <c r="Y18" s="81"/>
      <c r="Z18" s="159" t="s">
        <v>698</v>
      </c>
      <c r="AA18" s="46"/>
    </row>
    <row r="19" spans="1:27" ht="13.5" customHeight="1" x14ac:dyDescent="0.2">
      <c r="A19" s="2033" t="s">
        <v>2080</v>
      </c>
      <c r="B19" s="1979"/>
      <c r="C19" s="1979"/>
      <c r="D19" s="1979"/>
      <c r="E19" s="1979"/>
      <c r="F19" s="1979"/>
      <c r="G19" s="1979"/>
      <c r="H19" s="1959"/>
      <c r="I19" s="30"/>
      <c r="J19" s="99"/>
      <c r="K19" s="40"/>
      <c r="L19" s="38"/>
      <c r="M19" s="112" t="s">
        <v>333</v>
      </c>
      <c r="P19" s="27"/>
      <c r="Q19" s="27"/>
      <c r="R19" s="27"/>
      <c r="S19" s="31"/>
      <c r="T19" s="2033" t="s">
        <v>2088</v>
      </c>
      <c r="U19" s="1958"/>
      <c r="V19" s="1958"/>
      <c r="W19" s="1959"/>
      <c r="X19" s="2048" t="s">
        <v>2089</v>
      </c>
      <c r="Y19" s="2049"/>
      <c r="Z19" s="2046">
        <v>60563</v>
      </c>
      <c r="AA19" s="204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7" t="s">
        <v>2081</v>
      </c>
      <c r="B21" s="1958"/>
      <c r="C21" s="1958"/>
      <c r="D21" s="1958"/>
      <c r="E21" s="1958"/>
      <c r="F21" s="1958"/>
      <c r="G21" s="1958"/>
      <c r="H21" s="1959"/>
      <c r="I21" s="2013" t="s">
        <v>699</v>
      </c>
      <c r="J21" s="2008"/>
      <c r="K21" s="2008"/>
      <c r="L21" s="2008"/>
      <c r="M21" s="2008"/>
      <c r="N21" s="2008"/>
      <c r="O21" s="2008"/>
      <c r="P21" s="2008"/>
      <c r="Q21" s="2008"/>
      <c r="R21" s="2008"/>
      <c r="S21" s="2014"/>
      <c r="T21" s="2057" t="s">
        <v>2090</v>
      </c>
      <c r="U21" s="2058"/>
      <c r="V21" s="2058"/>
      <c r="W21" s="2058"/>
      <c r="X21" s="2063" t="s">
        <v>2091</v>
      </c>
      <c r="Y21" s="2064"/>
      <c r="Z21" s="2064"/>
      <c r="AA21" s="2065"/>
    </row>
    <row r="22" spans="1:27" ht="13.5" customHeight="1" x14ac:dyDescent="0.2">
      <c r="A22" s="87" t="s">
        <v>552</v>
      </c>
      <c r="B22" s="59"/>
      <c r="C22" s="59"/>
      <c r="D22" s="59"/>
      <c r="E22" s="59"/>
      <c r="F22" s="59"/>
      <c r="G22" s="59"/>
      <c r="H22" s="60"/>
      <c r="I22" s="2015" t="s">
        <v>1504</v>
      </c>
      <c r="J22" s="2016"/>
      <c r="K22" s="2016"/>
      <c r="L22" s="2016"/>
      <c r="M22" s="2016"/>
      <c r="N22" s="2016"/>
      <c r="O22" s="2016"/>
      <c r="P22" s="2016"/>
      <c r="Q22" s="2016"/>
      <c r="R22" s="2016"/>
      <c r="S22" s="2017"/>
      <c r="T22" s="85" t="s">
        <v>1596</v>
      </c>
      <c r="U22" s="51"/>
      <c r="V22" s="72"/>
      <c r="W22" s="51"/>
      <c r="X22" s="160" t="s">
        <v>1385</v>
      </c>
      <c r="Z22" s="45"/>
      <c r="AA22" s="46"/>
    </row>
    <row r="23" spans="1:27" ht="13.5" customHeight="1" x14ac:dyDescent="0.2">
      <c r="A23" s="2010"/>
      <c r="B23" s="2011"/>
      <c r="C23" s="2011"/>
      <c r="D23" s="2011"/>
      <c r="E23" s="2011"/>
      <c r="F23" s="2011"/>
      <c r="G23" s="2011"/>
      <c r="H23" s="2012"/>
      <c r="T23" s="1993" t="s">
        <v>2092</v>
      </c>
      <c r="U23" s="2056"/>
      <c r="V23" s="2056"/>
      <c r="W23" s="2056"/>
      <c r="X23" s="2060">
        <v>43373</v>
      </c>
      <c r="Y23" s="2061"/>
      <c r="Z23" s="2061"/>
      <c r="AA23" s="2062"/>
    </row>
    <row r="24" spans="1:27" ht="14.1" customHeight="1" x14ac:dyDescent="0.2">
      <c r="A24" s="88" t="s">
        <v>698</v>
      </c>
      <c r="B24" s="49"/>
      <c r="C24" s="49"/>
      <c r="D24" s="49"/>
      <c r="E24" s="49"/>
      <c r="F24" s="49"/>
      <c r="G24" s="49"/>
      <c r="H24" s="61"/>
      <c r="J24" s="1980" t="str">
        <f>IF(B5="x",IF(AUDITCHECK!D29="AFR form Incomplete.","",IF(AUDITCHECK!D29="Deficit reduction plan is required.","School District must complete a deficit reduction plan in the 2018-2019 Budget",)),"")</f>
        <v/>
      </c>
      <c r="K24" s="1980"/>
      <c r="L24" s="1980"/>
      <c r="M24" s="1980"/>
      <c r="N24" s="1980"/>
      <c r="O24" s="1980"/>
      <c r="P24" s="1980"/>
      <c r="Q24" s="1980"/>
      <c r="R24" s="1980"/>
      <c r="S24" s="1981"/>
      <c r="T24" s="105" t="s">
        <v>552</v>
      </c>
      <c r="U24" s="106"/>
      <c r="V24" s="106"/>
      <c r="W24" s="106"/>
      <c r="X24" s="107"/>
      <c r="Y24" s="107"/>
      <c r="Z24" s="107"/>
      <c r="AA24" s="108"/>
    </row>
    <row r="25" spans="1:27" ht="14.1" customHeight="1" x14ac:dyDescent="0.2">
      <c r="A25" s="1957">
        <v>61301</v>
      </c>
      <c r="B25" s="1958"/>
      <c r="C25" s="1958"/>
      <c r="D25" s="1958"/>
      <c r="E25" s="1958"/>
      <c r="F25" s="1958"/>
      <c r="G25" s="1958"/>
      <c r="H25" s="1959"/>
      <c r="I25" s="113"/>
      <c r="J25" s="1982"/>
      <c r="K25" s="1982"/>
      <c r="L25" s="1982"/>
      <c r="M25" s="1982"/>
      <c r="N25" s="1982"/>
      <c r="O25" s="1982"/>
      <c r="P25" s="1982"/>
      <c r="Q25" s="1982"/>
      <c r="R25" s="1982"/>
      <c r="S25" s="1983"/>
      <c r="T25" s="2053" t="s">
        <v>2093</v>
      </c>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8" t="s">
        <v>1591</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2077</v>
      </c>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3" t="s">
        <v>2082</v>
      </c>
      <c r="B38" s="1994"/>
      <c r="C38" s="1994"/>
      <c r="D38" s="1994"/>
      <c r="E38" s="1994"/>
      <c r="F38" s="1958"/>
      <c r="G38" s="1958"/>
      <c r="H38" s="1959"/>
      <c r="I38" s="1986"/>
      <c r="J38" s="1987"/>
      <c r="K38" s="1987"/>
      <c r="L38" s="1987"/>
      <c r="M38" s="1987"/>
      <c r="N38" s="1987"/>
      <c r="O38" s="1987"/>
      <c r="P38" s="1988"/>
      <c r="Q38" s="1988"/>
      <c r="R38" s="1988"/>
      <c r="S38" s="1989"/>
      <c r="T38" s="2043"/>
      <c r="U38" s="1987"/>
      <c r="V38" s="1987"/>
      <c r="W38" s="1987"/>
      <c r="X38" s="1988"/>
      <c r="Y38" s="1988"/>
      <c r="Z38" s="1988"/>
      <c r="AA38" s="1989"/>
    </row>
    <row r="39" spans="1:27" ht="12" customHeight="1" x14ac:dyDescent="0.2">
      <c r="A39" s="1963" t="s">
        <v>552</v>
      </c>
      <c r="B39" s="1964"/>
      <c r="C39" s="72"/>
      <c r="D39" s="69"/>
      <c r="E39" s="69"/>
      <c r="F39" s="79"/>
      <c r="G39" s="69"/>
      <c r="H39" s="56"/>
      <c r="I39" s="1963" t="s">
        <v>552</v>
      </c>
      <c r="J39" s="1964"/>
      <c r="K39" s="1964"/>
      <c r="L39" s="1964"/>
      <c r="M39" s="1964"/>
      <c r="N39" s="67"/>
      <c r="O39" s="72"/>
      <c r="P39" s="72"/>
      <c r="Q39" s="78"/>
      <c r="R39" s="72"/>
      <c r="S39" s="56"/>
      <c r="T39" s="72" t="s">
        <v>552</v>
      </c>
      <c r="U39" s="51"/>
      <c r="V39" s="72"/>
      <c r="W39" s="50"/>
      <c r="X39" s="78"/>
      <c r="Y39" s="45"/>
      <c r="Z39" s="45"/>
      <c r="AA39" s="46"/>
    </row>
    <row r="40" spans="1:27" ht="13.5" customHeight="1" x14ac:dyDescent="0.2">
      <c r="A40" s="1971" t="s">
        <v>2097</v>
      </c>
      <c r="B40" s="1972"/>
      <c r="C40" s="1973"/>
      <c r="D40" s="1973"/>
      <c r="E40" s="1973"/>
      <c r="F40" s="1974"/>
      <c r="G40" s="1974"/>
      <c r="H40" s="1975"/>
      <c r="I40" s="1996"/>
      <c r="J40" s="1997"/>
      <c r="K40" s="1997"/>
      <c r="L40" s="1997"/>
      <c r="M40" s="1997"/>
      <c r="N40" s="1997"/>
      <c r="O40" s="1997"/>
      <c r="P40" s="1997"/>
      <c r="Q40" s="1997"/>
      <c r="R40" s="1997"/>
      <c r="S40" s="1998"/>
      <c r="T40" s="1996"/>
      <c r="U40" s="2059"/>
      <c r="V40" s="1997"/>
      <c r="W40" s="1997"/>
      <c r="X40" s="1997"/>
      <c r="Y40" s="1997"/>
      <c r="Z40" s="1997"/>
      <c r="AA40" s="199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5" t="s">
        <v>2083</v>
      </c>
      <c r="B42" s="1977"/>
      <c r="C42" s="1978"/>
      <c r="D42" s="1976" t="s">
        <v>2084</v>
      </c>
      <c r="E42" s="1977"/>
      <c r="F42" s="1977"/>
      <c r="G42" s="1977"/>
      <c r="H42" s="1978"/>
      <c r="I42" s="1960"/>
      <c r="J42" s="1961"/>
      <c r="K42" s="1961"/>
      <c r="L42" s="1961"/>
      <c r="M42" s="1961"/>
      <c r="N42" s="1961"/>
      <c r="O42" s="1962"/>
      <c r="P42" s="1995"/>
      <c r="Q42" s="1961"/>
      <c r="R42" s="1961"/>
      <c r="S42" s="1962"/>
      <c r="T42" s="1960"/>
      <c r="U42" s="1961"/>
      <c r="V42" s="1961"/>
      <c r="W42" s="1962"/>
      <c r="X42" s="1995"/>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view="pageBreakPreview" zoomScale="60" zoomScaleNormal="110" workbookViewId="0">
      <selection activeCell="G57" sqref="G5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2" colorId="8" zoomScale="110" zoomScaleNormal="110" workbookViewId="0">
      <selection activeCell="B57" sqref="B57:J6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2085</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B54" sqref="B54:L5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4">
        <f>ROUND(D10+F10+H10,5)</f>
        <v>0</v>
      </c>
      <c r="K10" s="222"/>
      <c r="L10" s="355"/>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1163712</v>
      </c>
      <c r="E16" s="356"/>
      <c r="F16" s="1755">
        <f>SUM('Acct Summary 7-8'!C17,'Acct Summary 7-8'!D17,'Acct Summary 7-8'!F17)</f>
        <v>1019238</v>
      </c>
      <c r="G16" s="356"/>
      <c r="H16" s="1755">
        <f>SUM(D16-F16)</f>
        <v>144474</v>
      </c>
      <c r="I16" s="222"/>
      <c r="J16" s="1755">
        <f>SUM('Acct Summary 7-8'!C81,'Acct Summary 7-8'!D81,'Acct Summary 7-8'!F81,'Acct Summary 7-8'!I81)</f>
        <v>212150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G57" sqref="G5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Starved Rock Associates for Vocational and Technical Education</v>
      </c>
      <c r="E7" s="391"/>
      <c r="G7" s="252"/>
      <c r="H7" s="387"/>
      <c r="I7" s="387"/>
      <c r="J7" s="387"/>
      <c r="K7" s="387"/>
      <c r="L7" s="329"/>
      <c r="M7" s="329"/>
      <c r="N7" s="329"/>
      <c r="O7" s="329"/>
      <c r="P7" s="329"/>
    </row>
    <row r="8" spans="1:18" ht="12.75" x14ac:dyDescent="0.2">
      <c r="A8" s="329"/>
      <c r="B8" s="329"/>
      <c r="C8" s="389" t="s">
        <v>1187</v>
      </c>
      <c r="D8" s="392">
        <f>COVER!A13</f>
        <v>35050720045</v>
      </c>
      <c r="E8" s="393"/>
      <c r="G8" s="329"/>
      <c r="H8" s="329"/>
      <c r="I8" s="329"/>
      <c r="J8" s="329"/>
      <c r="K8" s="329"/>
      <c r="L8" s="329"/>
      <c r="M8" s="329"/>
      <c r="N8" s="329"/>
      <c r="O8" s="329"/>
      <c r="P8" s="329"/>
    </row>
    <row r="9" spans="1:18" ht="12.75" x14ac:dyDescent="0.2">
      <c r="A9" s="329"/>
      <c r="B9" s="329"/>
      <c r="C9" s="389" t="s">
        <v>737</v>
      </c>
      <c r="D9" s="394" t="str">
        <f>COVER!A15</f>
        <v>LaSalle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212150</v>
      </c>
      <c r="I12" s="404"/>
      <c r="J12" s="404"/>
      <c r="K12" s="405">
        <f>TRUNC((H12/H13*100000),5)/100000</f>
        <v>0.18230455640000001</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1163712</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1019238</v>
      </c>
      <c r="I17" s="404"/>
      <c r="J17" s="416"/>
      <c r="K17" s="405">
        <f>TRUNC((H17/H18*100000),5)/100000</f>
        <v>0.87585072590000002</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1163712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212150</v>
      </c>
      <c r="I24" s="422"/>
      <c r="J24" s="422"/>
      <c r="K24" s="423">
        <f>TRUNC(((H24/H25*100000)/100000),2)</f>
        <v>74.930000000000007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2831.2166699999998</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5" activePane="bottomLeft" state="frozen"/>
      <selection activeCell="G57" sqref="G57"/>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81"/>
      <c r="D3" s="1582"/>
      <c r="E3" s="1582"/>
      <c r="F3" s="1582"/>
      <c r="G3" s="1582"/>
      <c r="H3" s="1582"/>
      <c r="I3" s="1582"/>
      <c r="J3" s="1582"/>
      <c r="K3" s="1582"/>
      <c r="L3" s="1582"/>
      <c r="M3" s="1583"/>
      <c r="N3" s="1584"/>
    </row>
    <row r="4" spans="1:14" ht="13.5" customHeight="1" x14ac:dyDescent="0.2">
      <c r="A4" s="463" t="s">
        <v>1750</v>
      </c>
      <c r="B4" s="464"/>
      <c r="C4" s="465">
        <v>212150</v>
      </c>
      <c r="D4" s="466"/>
      <c r="E4" s="466"/>
      <c r="F4" s="466"/>
      <c r="G4" s="466"/>
      <c r="H4" s="466"/>
      <c r="I4" s="466"/>
      <c r="J4" s="467"/>
      <c r="K4" s="466"/>
      <c r="L4" s="466"/>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212150</v>
      </c>
      <c r="D13" s="1759">
        <f t="shared" ref="D13:L13" si="0">SUM(D4:D12)</f>
        <v>0</v>
      </c>
      <c r="E13" s="1759">
        <f t="shared" si="0"/>
        <v>0</v>
      </c>
      <c r="F13" s="1759">
        <f t="shared" si="0"/>
        <v>0</v>
      </c>
      <c r="G13" s="1759">
        <f t="shared" si="0"/>
        <v>0</v>
      </c>
      <c r="H13" s="1759">
        <f t="shared" si="0"/>
        <v>0</v>
      </c>
      <c r="I13" s="1759">
        <f t="shared" si="0"/>
        <v>0</v>
      </c>
      <c r="J13" s="1759">
        <f t="shared" si="0"/>
        <v>0</v>
      </c>
      <c r="K13" s="1759">
        <f t="shared" si="0"/>
        <v>0</v>
      </c>
      <c r="L13" s="1759">
        <f t="shared" si="0"/>
        <v>0</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1631835</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8" t="s">
        <v>664</v>
      </c>
      <c r="B23" s="1763"/>
      <c r="C23" s="468"/>
      <c r="D23" s="468"/>
      <c r="E23" s="468"/>
      <c r="F23" s="468"/>
      <c r="G23" s="468"/>
      <c r="H23" s="468"/>
      <c r="I23" s="468"/>
      <c r="J23" s="468"/>
      <c r="K23" s="468"/>
      <c r="L23" s="468"/>
      <c r="M23" s="1710">
        <f>SUM(M15:M22)</f>
        <v>1631835</v>
      </c>
      <c r="N23" s="1710">
        <f>SUM(N21:N22)</f>
        <v>0</v>
      </c>
    </row>
    <row r="24" spans="1:14" ht="18" customHeight="1" thickTop="1" x14ac:dyDescent="0.2">
      <c r="A24" s="2128" t="s">
        <v>619</v>
      </c>
      <c r="B24" s="2129"/>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0</v>
      </c>
      <c r="M34" s="468"/>
      <c r="N34" s="480"/>
    </row>
    <row r="35" spans="1:14" ht="18" customHeight="1" thickTop="1" x14ac:dyDescent="0.2">
      <c r="A35" s="2130" t="s">
        <v>550</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8" t="s">
        <v>674</v>
      </c>
      <c r="B37" s="1763"/>
      <c r="C37" s="477"/>
      <c r="D37" s="477"/>
      <c r="E37" s="477"/>
      <c r="F37" s="477"/>
      <c r="G37" s="477"/>
      <c r="H37" s="477"/>
      <c r="I37" s="477"/>
      <c r="J37" s="477"/>
      <c r="K37" s="477"/>
      <c r="L37" s="480"/>
      <c r="M37" s="468"/>
      <c r="N37" s="1710">
        <f>SUM(N36:N36)</f>
        <v>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212150</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1631835</v>
      </c>
      <c r="N40" s="497"/>
    </row>
    <row r="41" spans="1:14" ht="13.5" customHeight="1" thickBot="1" x14ac:dyDescent="0.25">
      <c r="A41" s="1758" t="s">
        <v>676</v>
      </c>
      <c r="B41" s="1728"/>
      <c r="C41" s="1710">
        <f>(SUM(C34,C37,C38,C39))</f>
        <v>212150</v>
      </c>
      <c r="D41" s="1710">
        <f t="shared" ref="D41:L41" si="2">SUM(D34,D37,D38:D39)</f>
        <v>0</v>
      </c>
      <c r="E41" s="1710">
        <f t="shared" si="2"/>
        <v>0</v>
      </c>
      <c r="F41" s="1710">
        <f t="shared" si="2"/>
        <v>0</v>
      </c>
      <c r="G41" s="1710">
        <f t="shared" si="2"/>
        <v>0</v>
      </c>
      <c r="H41" s="1710">
        <f t="shared" si="2"/>
        <v>0</v>
      </c>
      <c r="I41" s="1710">
        <f t="shared" si="2"/>
        <v>0</v>
      </c>
      <c r="J41" s="1710">
        <f t="shared" si="2"/>
        <v>0</v>
      </c>
      <c r="K41" s="1710">
        <f t="shared" si="2"/>
        <v>0</v>
      </c>
      <c r="L41" s="1710">
        <f t="shared" si="2"/>
        <v>0</v>
      </c>
      <c r="M41" s="1710">
        <f>SUM(M40)</f>
        <v>1631835</v>
      </c>
      <c r="N41" s="1710">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G57" sqref="G57"/>
      <selection pane="bottomLeft" activeCell="G57" sqref="G5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5"/>
      <c r="D3" s="1596"/>
      <c r="E3" s="1596"/>
      <c r="F3" s="1596"/>
      <c r="G3" s="1596"/>
      <c r="H3" s="1596"/>
      <c r="I3" s="1596"/>
      <c r="J3" s="1596"/>
      <c r="K3" s="1597"/>
      <c r="L3" s="506"/>
    </row>
    <row r="4" spans="1:13" ht="15.75" customHeight="1" x14ac:dyDescent="0.2">
      <c r="A4" s="1954" t="s">
        <v>1579</v>
      </c>
      <c r="B4" s="1955">
        <v>1000</v>
      </c>
      <c r="C4" s="1764">
        <f>'Revenues 9-14'!C109</f>
        <v>22439</v>
      </c>
      <c r="D4" s="1764">
        <f>'Revenues 9-14'!D109</f>
        <v>0</v>
      </c>
      <c r="E4" s="1764">
        <f>'Revenues 9-14'!E109</f>
        <v>0</v>
      </c>
      <c r="F4" s="1764">
        <f>'Revenues 9-14'!F109</f>
        <v>0</v>
      </c>
      <c r="G4" s="1764">
        <f>'Revenues 9-14'!G109</f>
        <v>0</v>
      </c>
      <c r="H4" s="1764">
        <f>'Revenues 9-14'!H109</f>
        <v>0</v>
      </c>
      <c r="I4" s="1764">
        <f>'Revenues 9-14'!I109</f>
        <v>0</v>
      </c>
      <c r="J4" s="1764">
        <f>'Revenues 9-14'!J109</f>
        <v>0</v>
      </c>
      <c r="K4" s="1764">
        <f>'Revenues 9-14'!K109</f>
        <v>0</v>
      </c>
      <c r="L4" s="347"/>
    </row>
    <row r="5" spans="1:13" ht="15.75" customHeight="1" x14ac:dyDescent="0.2">
      <c r="A5" s="1598" t="s">
        <v>1580</v>
      </c>
      <c r="B5" s="1599">
        <v>2000</v>
      </c>
      <c r="C5" s="1765">
        <f>'Revenues 9-14'!C114</f>
        <v>844812</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240585</v>
      </c>
      <c r="D6" s="1765">
        <f>'Revenues 9-14'!D173</f>
        <v>0</v>
      </c>
      <c r="E6" s="1765">
        <f>'Revenues 9-14'!E173</f>
        <v>0</v>
      </c>
      <c r="F6" s="1765">
        <f>'Revenues 9-14'!F173</f>
        <v>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55876</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1163712</v>
      </c>
      <c r="D8" s="1710">
        <f t="shared" ref="D8:K8" si="0">SUM(D4:D7)</f>
        <v>0</v>
      </c>
      <c r="E8" s="1710">
        <f t="shared" si="0"/>
        <v>0</v>
      </c>
      <c r="F8" s="1710">
        <f t="shared" si="0"/>
        <v>0</v>
      </c>
      <c r="G8" s="1710">
        <f t="shared" si="0"/>
        <v>0</v>
      </c>
      <c r="H8" s="1710">
        <f t="shared" si="0"/>
        <v>0</v>
      </c>
      <c r="I8" s="1710">
        <f t="shared" si="0"/>
        <v>0</v>
      </c>
      <c r="J8" s="1710">
        <f t="shared" si="0"/>
        <v>0</v>
      </c>
      <c r="K8" s="1710">
        <f t="shared" si="0"/>
        <v>0</v>
      </c>
      <c r="L8" s="347"/>
    </row>
    <row r="9" spans="1:13" ht="15.75" thickTop="1" x14ac:dyDescent="0.2">
      <c r="A9" s="514" t="s">
        <v>1752</v>
      </c>
      <c r="B9" s="515">
        <v>3998</v>
      </c>
      <c r="C9" s="481">
        <v>0</v>
      </c>
      <c r="D9" s="516"/>
      <c r="E9" s="481"/>
      <c r="F9" s="481"/>
      <c r="G9" s="517"/>
      <c r="H9" s="481"/>
      <c r="I9" s="509" t="s">
        <v>1231</v>
      </c>
      <c r="J9" s="478"/>
      <c r="K9" s="481"/>
      <c r="L9" s="347"/>
    </row>
    <row r="10" spans="1:13" s="519" customFormat="1" ht="13.5" thickBot="1" x14ac:dyDescent="0.25">
      <c r="A10" s="1758" t="s">
        <v>1235</v>
      </c>
      <c r="B10" s="1731"/>
      <c r="C10" s="1710">
        <f>SUM(C8:C9)</f>
        <v>1163712</v>
      </c>
      <c r="D10" s="1710">
        <f t="shared" ref="D10:K10" si="1">SUM(D8:D9)</f>
        <v>0</v>
      </c>
      <c r="E10" s="1710">
        <f t="shared" si="1"/>
        <v>0</v>
      </c>
      <c r="F10" s="1710">
        <f t="shared" si="1"/>
        <v>0</v>
      </c>
      <c r="G10" s="1710">
        <f t="shared" si="1"/>
        <v>0</v>
      </c>
      <c r="H10" s="1710">
        <f t="shared" si="1"/>
        <v>0</v>
      </c>
      <c r="I10" s="1710">
        <f t="shared" si="1"/>
        <v>0</v>
      </c>
      <c r="J10" s="1710">
        <f t="shared" si="1"/>
        <v>0</v>
      </c>
      <c r="K10" s="1710">
        <f t="shared" si="1"/>
        <v>0</v>
      </c>
      <c r="L10" s="518"/>
    </row>
    <row r="11" spans="1:13" s="519" customFormat="1" ht="16.7" customHeight="1" thickTop="1" x14ac:dyDescent="0.2">
      <c r="A11" s="2126" t="s">
        <v>1238</v>
      </c>
      <c r="B11" s="2127"/>
      <c r="C11" s="1592"/>
      <c r="D11" s="1593"/>
      <c r="E11" s="1593"/>
      <c r="F11" s="1593"/>
      <c r="G11" s="1593"/>
      <c r="H11" s="1593"/>
      <c r="I11" s="1593"/>
      <c r="J11" s="1593"/>
      <c r="K11" s="1594"/>
      <c r="L11" s="518"/>
    </row>
    <row r="12" spans="1:13" ht="15.75" customHeight="1" x14ac:dyDescent="0.2">
      <c r="A12" s="1598" t="s">
        <v>476</v>
      </c>
      <c r="B12" s="1600">
        <v>1000</v>
      </c>
      <c r="C12" s="1764">
        <f>'Expenditures 15-22'!K33</f>
        <v>216102</v>
      </c>
      <c r="D12" s="520" t="s">
        <v>1231</v>
      </c>
      <c r="E12" s="468" t="s">
        <v>1231</v>
      </c>
      <c r="F12" s="468" t="s">
        <v>1231</v>
      </c>
      <c r="G12" s="1764">
        <f>'Expenditures 15-22'!K229</f>
        <v>0</v>
      </c>
      <c r="H12" s="521"/>
      <c r="I12" s="468" t="s">
        <v>1231</v>
      </c>
      <c r="J12" s="468" t="s">
        <v>1231</v>
      </c>
      <c r="K12" s="521" t="s">
        <v>1231</v>
      </c>
      <c r="L12" s="347"/>
    </row>
    <row r="13" spans="1:13" ht="15.75" customHeight="1" x14ac:dyDescent="0.2">
      <c r="A13" s="1598" t="s">
        <v>477</v>
      </c>
      <c r="B13" s="1600">
        <v>2000</v>
      </c>
      <c r="C13" s="1765">
        <f>'Expenditures 15-22'!K74</f>
        <v>43514</v>
      </c>
      <c r="D13" s="1765">
        <f>'Expenditures 15-22'!K129</f>
        <v>0</v>
      </c>
      <c r="E13" s="469" t="s">
        <v>1231</v>
      </c>
      <c r="F13" s="1765">
        <f>'Expenditures 15-22'!K184</f>
        <v>0</v>
      </c>
      <c r="G13" s="1765">
        <f>'Expenditures 15-22'!K279</f>
        <v>0</v>
      </c>
      <c r="H13" s="1765">
        <f>'Expenditures 15-22'!K303</f>
        <v>0</v>
      </c>
      <c r="I13" s="468" t="s">
        <v>1231</v>
      </c>
      <c r="J13" s="1765">
        <f>'Expenditures 15-22'!K330</f>
        <v>0</v>
      </c>
      <c r="K13" s="1769">
        <f>'Expenditures 15-22'!K352</f>
        <v>0</v>
      </c>
      <c r="L13" s="347"/>
    </row>
    <row r="14" spans="1:13" ht="15.75" customHeight="1" x14ac:dyDescent="0.2">
      <c r="A14" s="1598" t="s">
        <v>469</v>
      </c>
      <c r="B14" s="1600">
        <v>3000</v>
      </c>
      <c r="C14" s="1765">
        <f>'Expenditures 15-22'!K75</f>
        <v>275</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759347</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1019238</v>
      </c>
      <c r="D17" s="1710">
        <f t="shared" si="2"/>
        <v>0</v>
      </c>
      <c r="E17" s="1710">
        <f t="shared" si="2"/>
        <v>0</v>
      </c>
      <c r="F17" s="1710">
        <f t="shared" si="2"/>
        <v>0</v>
      </c>
      <c r="G17" s="1710">
        <f t="shared" si="2"/>
        <v>0</v>
      </c>
      <c r="H17" s="1710">
        <f t="shared" si="2"/>
        <v>0</v>
      </c>
      <c r="I17" s="468"/>
      <c r="J17" s="1710">
        <f>SUM(J12:J16)</f>
        <v>0</v>
      </c>
      <c r="K17" s="1710">
        <f>SUM(K12:K16)</f>
        <v>0</v>
      </c>
      <c r="L17" s="347"/>
    </row>
    <row r="18" spans="1:12" ht="15" customHeight="1" thickTop="1" x14ac:dyDescent="0.2">
      <c r="A18" s="1766" t="s">
        <v>1753</v>
      </c>
      <c r="B18" s="1767">
        <v>4180</v>
      </c>
      <c r="C18" s="1764">
        <f t="shared" ref="C18:H18" si="3">C9</f>
        <v>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1019238</v>
      </c>
      <c r="D19" s="1710">
        <f t="shared" si="4"/>
        <v>0</v>
      </c>
      <c r="E19" s="1710">
        <f t="shared" si="4"/>
        <v>0</v>
      </c>
      <c r="F19" s="1710">
        <f t="shared" si="4"/>
        <v>0</v>
      </c>
      <c r="G19" s="1710">
        <f t="shared" si="4"/>
        <v>0</v>
      </c>
      <c r="H19" s="1710">
        <f t="shared" si="4"/>
        <v>0</v>
      </c>
      <c r="I19" s="468"/>
      <c r="J19" s="1710">
        <f>SUM(J17:J18)</f>
        <v>0</v>
      </c>
      <c r="K19" s="1710">
        <f>SUM(K17:K18)</f>
        <v>0</v>
      </c>
      <c r="L19" s="347"/>
    </row>
    <row r="20" spans="1:12" ht="16.5" thickTop="1" thickBot="1" x14ac:dyDescent="0.25">
      <c r="A20" s="2142" t="s">
        <v>1754</v>
      </c>
      <c r="B20" s="2143"/>
      <c r="C20" s="1768">
        <f>C8-C17</f>
        <v>144474</v>
      </c>
      <c r="D20" s="1768">
        <f t="shared" ref="D20:K20" si="5">D8-D17</f>
        <v>0</v>
      </c>
      <c r="E20" s="1768">
        <f t="shared" si="5"/>
        <v>0</v>
      </c>
      <c r="F20" s="1768">
        <f t="shared" si="5"/>
        <v>0</v>
      </c>
      <c r="G20" s="1768">
        <f t="shared" si="5"/>
        <v>0</v>
      </c>
      <c r="H20" s="1768">
        <f t="shared" si="5"/>
        <v>0</v>
      </c>
      <c r="I20" s="1768">
        <f t="shared" si="5"/>
        <v>0</v>
      </c>
      <c r="J20" s="1768">
        <f t="shared" si="5"/>
        <v>0</v>
      </c>
      <c r="K20" s="1768">
        <f t="shared" si="5"/>
        <v>0</v>
      </c>
      <c r="L20" s="347"/>
    </row>
    <row r="21" spans="1:12" ht="16.7" customHeight="1" thickTop="1" x14ac:dyDescent="0.2">
      <c r="A21" s="2154" t="s">
        <v>616</v>
      </c>
      <c r="B21" s="2155"/>
      <c r="C21" s="1592"/>
      <c r="D21" s="1593"/>
      <c r="E21" s="1593"/>
      <c r="F21" s="1593"/>
      <c r="G21" s="1593"/>
      <c r="H21" s="1593"/>
      <c r="I21" s="1593"/>
      <c r="J21" s="1593"/>
      <c r="K21" s="1594"/>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6" t="s">
        <v>392</v>
      </c>
      <c r="B44" s="2157"/>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2" t="s">
        <v>460</v>
      </c>
      <c r="B76" s="2133"/>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4" t="s">
        <v>1239</v>
      </c>
      <c r="B77" s="2135"/>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8" t="s">
        <v>618</v>
      </c>
      <c r="B78" s="2139"/>
      <c r="C78" s="1724">
        <f t="shared" ref="C78:K78" si="9">C20+C77</f>
        <v>144474</v>
      </c>
      <c r="D78" s="1724">
        <f t="shared" si="9"/>
        <v>0</v>
      </c>
      <c r="E78" s="1724">
        <f t="shared" si="9"/>
        <v>0</v>
      </c>
      <c r="F78" s="1724">
        <f t="shared" si="9"/>
        <v>0</v>
      </c>
      <c r="G78" s="1724">
        <f t="shared" si="9"/>
        <v>0</v>
      </c>
      <c r="H78" s="1724">
        <f t="shared" si="9"/>
        <v>0</v>
      </c>
      <c r="I78" s="1724">
        <f t="shared" si="9"/>
        <v>0</v>
      </c>
      <c r="J78" s="1724">
        <f t="shared" si="9"/>
        <v>0</v>
      </c>
      <c r="K78" s="1724">
        <f t="shared" si="9"/>
        <v>0</v>
      </c>
      <c r="L78" s="533"/>
    </row>
    <row r="79" spans="1:12" ht="13.5" thickTop="1" x14ac:dyDescent="0.2">
      <c r="A79" s="1516" t="s">
        <v>2071</v>
      </c>
      <c r="B79" s="534"/>
      <c r="C79" s="478">
        <v>67676</v>
      </c>
      <c r="D79" s="535"/>
      <c r="E79" s="535"/>
      <c r="F79" s="535"/>
      <c r="G79" s="535"/>
      <c r="H79" s="535"/>
      <c r="I79" s="535"/>
      <c r="J79" s="535"/>
      <c r="K79" s="535"/>
      <c r="L79" s="347"/>
    </row>
    <row r="80" spans="1:12" x14ac:dyDescent="0.2">
      <c r="A80" s="2144" t="s">
        <v>1898</v>
      </c>
      <c r="B80" s="2145"/>
      <c r="C80" s="467"/>
      <c r="D80" s="467"/>
      <c r="E80" s="467"/>
      <c r="F80" s="467"/>
      <c r="G80" s="467"/>
      <c r="H80" s="467"/>
      <c r="I80" s="467"/>
      <c r="J80" s="467"/>
      <c r="K80" s="467"/>
      <c r="L80" s="347"/>
    </row>
    <row r="81" spans="1:12" ht="13.5" thickBot="1" x14ac:dyDescent="0.25">
      <c r="A81" s="2136" t="s">
        <v>2072</v>
      </c>
      <c r="B81" s="2137"/>
      <c r="C81" s="1710">
        <f>(SUM(C78:C80))</f>
        <v>212150</v>
      </c>
      <c r="D81" s="1710">
        <f>SUM(D78:D80)</f>
        <v>0</v>
      </c>
      <c r="E81" s="1710">
        <f t="shared" ref="E81:K81" si="10">SUM(E78:E80)</f>
        <v>0</v>
      </c>
      <c r="F81" s="1710">
        <f t="shared" si="10"/>
        <v>0</v>
      </c>
      <c r="G81" s="1710">
        <f t="shared" si="10"/>
        <v>0</v>
      </c>
      <c r="H81" s="1710">
        <f t="shared" si="10"/>
        <v>0</v>
      </c>
      <c r="I81" s="1710">
        <f t="shared" si="10"/>
        <v>0</v>
      </c>
      <c r="J81" s="1710">
        <f t="shared" si="10"/>
        <v>0</v>
      </c>
      <c r="K81" s="1710">
        <f t="shared" si="10"/>
        <v>0</v>
      </c>
      <c r="L81" s="347"/>
    </row>
    <row r="82" spans="1:12" ht="0.75" customHeight="1" thickTop="1" thickBot="1" x14ac:dyDescent="0.25">
      <c r="A82" s="536" t="s">
        <v>361</v>
      </c>
      <c r="B82" s="537"/>
      <c r="C82" s="538">
        <f>(C81-C79)</f>
        <v>144474</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0.68099929295309924</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80" zoomScaleNormal="80" zoomScaleSheetLayoutView="75" workbookViewId="0">
      <pane ySplit="2" topLeftCell="A3" activePane="bottomLeft" state="frozen"/>
      <selection activeCell="G57" sqref="G57"/>
      <selection pane="bottomLeft" activeCell="G57" sqref="G57"/>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1905</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0</v>
      </c>
      <c r="D12" s="1729">
        <f t="shared" si="0"/>
        <v>0</v>
      </c>
      <c r="E12" s="1729">
        <f t="shared" si="0"/>
        <v>0</v>
      </c>
      <c r="F12" s="1729">
        <f t="shared" si="0"/>
        <v>0</v>
      </c>
      <c r="G12" s="1729">
        <f t="shared" si="0"/>
        <v>0</v>
      </c>
      <c r="H12" s="1729">
        <f t="shared" si="0"/>
        <v>0</v>
      </c>
      <c r="I12" s="1729">
        <f t="shared" si="0"/>
        <v>0</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429</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429</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5300</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16710</v>
      </c>
      <c r="D106" s="489"/>
      <c r="E106" s="467"/>
      <c r="F106" s="467"/>
      <c r="G106" s="467"/>
      <c r="H106" s="467"/>
      <c r="I106" s="521"/>
      <c r="J106" s="467"/>
      <c r="K106" s="467"/>
    </row>
    <row r="107" spans="1:12" ht="12.75" customHeight="1" x14ac:dyDescent="0.2">
      <c r="A107" s="463" t="s">
        <v>80</v>
      </c>
      <c r="B107" s="470">
        <v>1999</v>
      </c>
      <c r="C107" s="551"/>
      <c r="D107" s="466"/>
      <c r="E107" s="466"/>
      <c r="F107" s="466"/>
      <c r="G107" s="466"/>
      <c r="H107" s="466"/>
      <c r="I107" s="466"/>
      <c r="J107" s="467"/>
      <c r="K107" s="466"/>
    </row>
    <row r="108" spans="1:12" ht="12.75" customHeight="1" thickBot="1" x14ac:dyDescent="0.25">
      <c r="A108" s="1730" t="s">
        <v>508</v>
      </c>
      <c r="B108" s="1734"/>
      <c r="C108" s="1729">
        <f>SUM(C95:C107)</f>
        <v>22010</v>
      </c>
      <c r="D108" s="1729">
        <f t="shared" ref="D108:K108" si="3">SUM(D95:D107)</f>
        <v>0</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22439</v>
      </c>
      <c r="D109" s="1737">
        <f t="shared" si="4"/>
        <v>0</v>
      </c>
      <c r="E109" s="1737">
        <f t="shared" si="4"/>
        <v>0</v>
      </c>
      <c r="F109" s="1737">
        <f t="shared" si="4"/>
        <v>0</v>
      </c>
      <c r="G109" s="1737">
        <f t="shared" si="4"/>
        <v>0</v>
      </c>
      <c r="H109" s="1737">
        <f t="shared" si="4"/>
        <v>0</v>
      </c>
      <c r="I109" s="1737">
        <f t="shared" si="4"/>
        <v>0</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f>10588+387159+68302+8800+11373+1651+195807</f>
        <v>683680</v>
      </c>
      <c r="D111" s="481"/>
      <c r="E111" s="561"/>
      <c r="F111" s="481"/>
      <c r="G111" s="481"/>
      <c r="H111" s="561"/>
      <c r="I111" s="468"/>
      <c r="J111" s="468"/>
      <c r="K111" s="468"/>
    </row>
    <row r="112" spans="1:12" ht="12.75" customHeight="1" x14ac:dyDescent="0.2">
      <c r="A112" s="463" t="s">
        <v>878</v>
      </c>
      <c r="B112" s="470">
        <v>2200</v>
      </c>
      <c r="C112" s="551">
        <f>149827+4000</f>
        <v>153827</v>
      </c>
      <c r="D112" s="466"/>
      <c r="E112" s="561"/>
      <c r="F112" s="466"/>
      <c r="G112" s="466"/>
      <c r="H112" s="561"/>
      <c r="I112" s="468"/>
      <c r="J112" s="468"/>
      <c r="K112" s="468"/>
      <c r="L112" s="552"/>
    </row>
    <row r="113" spans="1:11" ht="12.75" customHeight="1" x14ac:dyDescent="0.2">
      <c r="A113" s="463" t="s">
        <v>28</v>
      </c>
      <c r="B113" s="470">
        <v>2300</v>
      </c>
      <c r="C113" s="551">
        <f>3305+4000</f>
        <v>7305</v>
      </c>
      <c r="D113" s="466"/>
      <c r="E113" s="561"/>
      <c r="F113" s="466"/>
      <c r="G113" s="466"/>
      <c r="H113" s="561"/>
      <c r="I113" s="468"/>
      <c r="J113" s="468"/>
      <c r="K113" s="468"/>
    </row>
    <row r="114" spans="1:11" ht="13.5" thickBot="1" x14ac:dyDescent="0.25">
      <c r="A114" s="1738" t="s">
        <v>839</v>
      </c>
      <c r="B114" s="1739" t="s">
        <v>590</v>
      </c>
      <c r="C114" s="1740">
        <f>SUM(C111:C113)</f>
        <v>844812</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0</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f>5872+121356+1550+4007+47141+1233+58126+1300</f>
        <v>240585</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240585</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0</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0" t="s">
        <v>418</v>
      </c>
      <c r="B172" s="2161"/>
      <c r="C172" s="1744">
        <f t="shared" ref="C172:K172" si="6">SUM(C131,C140,C144,C145:C149,C154,C155:C170,C171)</f>
        <v>240585</v>
      </c>
      <c r="D172" s="1744">
        <f t="shared" si="6"/>
        <v>0</v>
      </c>
      <c r="E172" s="1744">
        <f t="shared" si="6"/>
        <v>0</v>
      </c>
      <c r="F172" s="1744">
        <f t="shared" si="6"/>
        <v>0</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240585</v>
      </c>
      <c r="D173" s="1737">
        <f>SUM(D121,D172)</f>
        <v>0</v>
      </c>
      <c r="E173" s="1737">
        <f>SUM(E121,E172)</f>
        <v>0</v>
      </c>
      <c r="F173" s="1737">
        <f t="shared" ref="F173:K173" si="7">SUM(F121,F172)</f>
        <v>0</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6" t="s">
        <v>1764</v>
      </c>
      <c r="B178" s="2167"/>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8" t="s">
        <v>818</v>
      </c>
      <c r="B184" s="2169"/>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4" t="s">
        <v>1906</v>
      </c>
      <c r="B185" s="2165"/>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f>46180+9696</f>
        <v>55876</v>
      </c>
      <c r="D227" s="466"/>
      <c r="E227" s="468"/>
      <c r="F227" s="468"/>
      <c r="G227" s="466"/>
      <c r="H227" s="468"/>
      <c r="I227" s="468"/>
      <c r="J227" s="468"/>
      <c r="K227" s="468"/>
    </row>
    <row r="228" spans="1:11" ht="12.75" customHeight="1" thickBot="1" x14ac:dyDescent="0.25">
      <c r="A228" s="1745" t="s">
        <v>1145</v>
      </c>
      <c r="B228" s="1746"/>
      <c r="C228" s="1729">
        <f>SUM(C226:C227)</f>
        <v>55876</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55876</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55876</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1163712</v>
      </c>
      <c r="D275" s="1737">
        <f t="shared" si="12"/>
        <v>0</v>
      </c>
      <c r="E275" s="1737">
        <f t="shared" si="12"/>
        <v>0</v>
      </c>
      <c r="F275" s="1737">
        <f t="shared" si="12"/>
        <v>0</v>
      </c>
      <c r="G275" s="1737">
        <f t="shared" si="12"/>
        <v>0</v>
      </c>
      <c r="H275" s="1737">
        <f t="shared" si="12"/>
        <v>0</v>
      </c>
      <c r="I275" s="1737">
        <f t="shared" si="12"/>
        <v>0</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BreakPreview" colorId="8" zoomScale="60" zoomScaleNormal="90" workbookViewId="0">
      <pane ySplit="2" topLeftCell="A111" activePane="bottomLeft" state="frozen"/>
      <selection activeCell="G57" sqref="G57"/>
      <selection pane="bottomLeft" activeCell="G57" sqref="G5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0"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c r="D5" s="466"/>
      <c r="E5" s="466"/>
      <c r="F5" s="466"/>
      <c r="G5" s="466"/>
      <c r="H5" s="466"/>
      <c r="I5" s="467"/>
      <c r="J5" s="467"/>
      <c r="K5" s="1693">
        <f>SUM(C5:J5)</f>
        <v>0</v>
      </c>
      <c r="L5" s="466"/>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c r="D8" s="466"/>
      <c r="E8" s="466"/>
      <c r="F8" s="466"/>
      <c r="G8" s="466"/>
      <c r="H8" s="466"/>
      <c r="I8" s="467"/>
      <c r="J8" s="467"/>
      <c r="K8" s="1693">
        <f t="shared" si="0"/>
        <v>0</v>
      </c>
      <c r="L8" s="466"/>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c r="D10" s="466"/>
      <c r="E10" s="466"/>
      <c r="F10" s="466"/>
      <c r="G10" s="466"/>
      <c r="H10" s="466"/>
      <c r="I10" s="467"/>
      <c r="J10" s="467"/>
      <c r="K10" s="1693">
        <f t="shared" si="0"/>
        <v>0</v>
      </c>
      <c r="L10" s="466"/>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f>1432+2314</f>
        <v>3746</v>
      </c>
      <c r="F13" s="466">
        <f>14007+2984+2870+185+921+1606+5108+13701+1371+1414+75430+1349</f>
        <v>120946</v>
      </c>
      <c r="G13" s="466">
        <f>28647+5445+11919+45399</f>
        <v>91410</v>
      </c>
      <c r="H13" s="466"/>
      <c r="I13" s="467"/>
      <c r="J13" s="467"/>
      <c r="K13" s="1693">
        <f t="shared" si="0"/>
        <v>216102</v>
      </c>
      <c r="L13" s="466">
        <v>355068</v>
      </c>
    </row>
    <row r="14" spans="1:14" x14ac:dyDescent="0.2">
      <c r="A14" s="1526" t="s">
        <v>1020</v>
      </c>
      <c r="B14" s="615">
        <v>1500</v>
      </c>
      <c r="C14" s="466"/>
      <c r="D14" s="466"/>
      <c r="E14" s="466"/>
      <c r="F14" s="466"/>
      <c r="G14" s="466"/>
      <c r="H14" s="466"/>
      <c r="I14" s="467"/>
      <c r="J14" s="467"/>
      <c r="K14" s="1693">
        <f t="shared" si="0"/>
        <v>0</v>
      </c>
      <c r="L14" s="466"/>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0</v>
      </c>
      <c r="D33" s="1692">
        <f t="shared" ref="D33:L33" si="1">SUM(D5:D32)</f>
        <v>0</v>
      </c>
      <c r="E33" s="1692">
        <f t="shared" si="1"/>
        <v>3746</v>
      </c>
      <c r="F33" s="1692">
        <f t="shared" si="1"/>
        <v>120946</v>
      </c>
      <c r="G33" s="1692">
        <f t="shared" si="1"/>
        <v>91410</v>
      </c>
      <c r="H33" s="1692">
        <f t="shared" si="1"/>
        <v>0</v>
      </c>
      <c r="I33" s="1692">
        <f t="shared" si="1"/>
        <v>0</v>
      </c>
      <c r="J33" s="1692">
        <f t="shared" si="1"/>
        <v>0</v>
      </c>
      <c r="K33" s="1692">
        <f t="shared" si="1"/>
        <v>216102</v>
      </c>
      <c r="L33" s="1692">
        <f t="shared" si="1"/>
        <v>355068</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c r="D37" s="466">
        <v>4870</v>
      </c>
      <c r="E37" s="466">
        <f>100+213+1086+602+200+420+70+529+1775+100+315+543+84+1759+204</f>
        <v>8000</v>
      </c>
      <c r="F37" s="466">
        <f>2585+499+502</f>
        <v>3586</v>
      </c>
      <c r="G37" s="466"/>
      <c r="H37" s="466"/>
      <c r="I37" s="467"/>
      <c r="J37" s="467"/>
      <c r="K37" s="1693">
        <f t="shared" si="2"/>
        <v>16456</v>
      </c>
      <c r="L37" s="466">
        <v>27116</v>
      </c>
    </row>
    <row r="38" spans="1:14" x14ac:dyDescent="0.2">
      <c r="A38" s="1526" t="s">
        <v>207</v>
      </c>
      <c r="B38" s="615">
        <v>2130</v>
      </c>
      <c r="C38" s="466"/>
      <c r="D38" s="466"/>
      <c r="E38" s="466"/>
      <c r="F38" s="466"/>
      <c r="G38" s="466"/>
      <c r="H38" s="466"/>
      <c r="I38" s="467"/>
      <c r="J38" s="467"/>
      <c r="K38" s="1693">
        <f t="shared" si="2"/>
        <v>0</v>
      </c>
      <c r="L38" s="466"/>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0</v>
      </c>
      <c r="D42" s="1692">
        <f t="shared" ref="D42:L42" si="3">SUM(D36:D41)</f>
        <v>4870</v>
      </c>
      <c r="E42" s="1692">
        <f t="shared" si="3"/>
        <v>8000</v>
      </c>
      <c r="F42" s="1692">
        <f t="shared" si="3"/>
        <v>3586</v>
      </c>
      <c r="G42" s="1692">
        <f t="shared" si="3"/>
        <v>0</v>
      </c>
      <c r="H42" s="1692">
        <f t="shared" si="3"/>
        <v>0</v>
      </c>
      <c r="I42" s="1692">
        <f t="shared" si="3"/>
        <v>0</v>
      </c>
      <c r="J42" s="1692">
        <f t="shared" si="3"/>
        <v>0</v>
      </c>
      <c r="K42" s="1692">
        <f t="shared" si="3"/>
        <v>16456</v>
      </c>
      <c r="L42" s="1692">
        <f t="shared" si="3"/>
        <v>27116</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f>999+1785</f>
        <v>2784</v>
      </c>
      <c r="E44" s="481">
        <f>1248+92+846+284+2150+74+263+1875+50+244+390+100+107+1495+107+35</f>
        <v>9360</v>
      </c>
      <c r="F44" s="481">
        <v>1469</v>
      </c>
      <c r="G44" s="481"/>
      <c r="H44" s="481"/>
      <c r="I44" s="467"/>
      <c r="J44" s="467"/>
      <c r="K44" s="1694">
        <f>SUM(C44:J44)</f>
        <v>13613</v>
      </c>
      <c r="L44" s="481">
        <v>31908</v>
      </c>
    </row>
    <row r="45" spans="1:14" x14ac:dyDescent="0.2">
      <c r="A45" s="1526" t="s">
        <v>869</v>
      </c>
      <c r="B45" s="615">
        <v>2220</v>
      </c>
      <c r="C45" s="466"/>
      <c r="D45" s="466"/>
      <c r="E45" s="466"/>
      <c r="F45" s="466"/>
      <c r="G45" s="466"/>
      <c r="H45" s="466"/>
      <c r="I45" s="467"/>
      <c r="J45" s="467"/>
      <c r="K45" s="1694">
        <f>SUM(C45:J45)</f>
        <v>0</v>
      </c>
      <c r="L45" s="466"/>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0</v>
      </c>
      <c r="D47" s="1692">
        <f t="shared" ref="D47:K47" si="4">SUM(D44:D46)</f>
        <v>2784</v>
      </c>
      <c r="E47" s="1692">
        <f t="shared" si="4"/>
        <v>9360</v>
      </c>
      <c r="F47" s="1692">
        <f t="shared" si="4"/>
        <v>1469</v>
      </c>
      <c r="G47" s="1692">
        <f t="shared" si="4"/>
        <v>0</v>
      </c>
      <c r="H47" s="1692">
        <f t="shared" si="4"/>
        <v>0</v>
      </c>
      <c r="I47" s="1692">
        <f t="shared" si="4"/>
        <v>0</v>
      </c>
      <c r="J47" s="1692">
        <f t="shared" si="4"/>
        <v>0</v>
      </c>
      <c r="K47" s="1692">
        <f t="shared" si="4"/>
        <v>13613</v>
      </c>
      <c r="L47" s="1692">
        <f>SUM(L44:L46)</f>
        <v>31908</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c r="F49" s="481"/>
      <c r="G49" s="481"/>
      <c r="H49" s="481"/>
      <c r="I49" s="467"/>
      <c r="J49" s="467"/>
      <c r="K49" s="1694">
        <f>SUM(C49:J49)</f>
        <v>0</v>
      </c>
      <c r="L49" s="481"/>
    </row>
    <row r="50" spans="1:14" x14ac:dyDescent="0.2">
      <c r="A50" s="1526" t="s">
        <v>872</v>
      </c>
      <c r="B50" s="615">
        <v>2320</v>
      </c>
      <c r="C50" s="466"/>
      <c r="D50" s="466"/>
      <c r="E50" s="466"/>
      <c r="F50" s="466"/>
      <c r="G50" s="466"/>
      <c r="H50" s="466"/>
      <c r="I50" s="467"/>
      <c r="J50" s="467"/>
      <c r="K50" s="1694">
        <f>SUM(C50:J50)</f>
        <v>0</v>
      </c>
      <c r="L50" s="466"/>
    </row>
    <row r="51" spans="1:14" x14ac:dyDescent="0.2">
      <c r="A51" s="1526" t="s">
        <v>44</v>
      </c>
      <c r="B51" s="615">
        <v>2330</v>
      </c>
      <c r="C51" s="466"/>
      <c r="D51" s="466">
        <f>667+332</f>
        <v>999</v>
      </c>
      <c r="E51" s="466">
        <f>2272+50+199+352+198+372+50+1016+400+300+34+50+400+2177+111+131+9+249+323+149+1879+100+256</f>
        <v>11077</v>
      </c>
      <c r="F51" s="466">
        <f>97+8+30+240</f>
        <v>375</v>
      </c>
      <c r="G51" s="466"/>
      <c r="H51" s="466">
        <v>558</v>
      </c>
      <c r="I51" s="467"/>
      <c r="J51" s="467"/>
      <c r="K51" s="1694">
        <f>SUM(C51:J51)</f>
        <v>13009</v>
      </c>
      <c r="L51" s="466">
        <v>29392</v>
      </c>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0</v>
      </c>
      <c r="D53" s="1692">
        <f t="shared" ref="D53:L53" si="5">SUM(D49:D52)</f>
        <v>999</v>
      </c>
      <c r="E53" s="1692">
        <f t="shared" si="5"/>
        <v>11077</v>
      </c>
      <c r="F53" s="1692">
        <f t="shared" si="5"/>
        <v>375</v>
      </c>
      <c r="G53" s="1692">
        <f t="shared" si="5"/>
        <v>0</v>
      </c>
      <c r="H53" s="1692">
        <f t="shared" si="5"/>
        <v>558</v>
      </c>
      <c r="I53" s="1692">
        <f t="shared" si="5"/>
        <v>0</v>
      </c>
      <c r="J53" s="1692">
        <f t="shared" si="5"/>
        <v>0</v>
      </c>
      <c r="K53" s="1692">
        <f t="shared" si="5"/>
        <v>13009</v>
      </c>
      <c r="L53" s="1692">
        <f t="shared" si="5"/>
        <v>29392</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c r="D55" s="481"/>
      <c r="E55" s="481"/>
      <c r="F55" s="481"/>
      <c r="G55" s="481"/>
      <c r="H55" s="481"/>
      <c r="I55" s="467"/>
      <c r="J55" s="467"/>
      <c r="K55" s="1694">
        <f>SUM(C55:J55)</f>
        <v>0</v>
      </c>
      <c r="L55" s="481"/>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0</v>
      </c>
      <c r="D57" s="1696">
        <f t="shared" ref="D57:K57" si="6">SUM(D55:D56)</f>
        <v>0</v>
      </c>
      <c r="E57" s="1696">
        <f t="shared" si="6"/>
        <v>0</v>
      </c>
      <c r="F57" s="1696">
        <f t="shared" si="6"/>
        <v>0</v>
      </c>
      <c r="G57" s="1696">
        <f t="shared" si="6"/>
        <v>0</v>
      </c>
      <c r="H57" s="1696">
        <f t="shared" si="6"/>
        <v>0</v>
      </c>
      <c r="I57" s="1696">
        <f t="shared" si="6"/>
        <v>0</v>
      </c>
      <c r="J57" s="1696">
        <f t="shared" si="6"/>
        <v>0</v>
      </c>
      <c r="K57" s="1696">
        <f t="shared" si="6"/>
        <v>0</v>
      </c>
      <c r="L57" s="1692">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c r="D60" s="466"/>
      <c r="E60" s="466">
        <v>436</v>
      </c>
      <c r="F60" s="466"/>
      <c r="G60" s="466"/>
      <c r="H60" s="466"/>
      <c r="I60" s="467"/>
      <c r="J60" s="467"/>
      <c r="K60" s="1694">
        <f t="shared" si="7"/>
        <v>436</v>
      </c>
      <c r="L60" s="466">
        <v>400</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c r="D63" s="466"/>
      <c r="E63" s="466"/>
      <c r="F63" s="466"/>
      <c r="G63" s="466"/>
      <c r="H63" s="466"/>
      <c r="I63" s="467"/>
      <c r="J63" s="467"/>
      <c r="K63" s="1694">
        <f t="shared" si="7"/>
        <v>0</v>
      </c>
      <c r="L63" s="466"/>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0</v>
      </c>
      <c r="D65" s="1692">
        <f t="shared" ref="D65:L65" si="8">SUM(D59:D64)</f>
        <v>0</v>
      </c>
      <c r="E65" s="1692">
        <f t="shared" si="8"/>
        <v>436</v>
      </c>
      <c r="F65" s="1692">
        <f t="shared" si="8"/>
        <v>0</v>
      </c>
      <c r="G65" s="1692">
        <f t="shared" si="8"/>
        <v>0</v>
      </c>
      <c r="H65" s="1692">
        <f t="shared" si="8"/>
        <v>0</v>
      </c>
      <c r="I65" s="1692">
        <f t="shared" si="8"/>
        <v>0</v>
      </c>
      <c r="J65" s="1692">
        <f t="shared" si="8"/>
        <v>0</v>
      </c>
      <c r="K65" s="1692">
        <f t="shared" si="8"/>
        <v>436</v>
      </c>
      <c r="L65" s="1692">
        <f t="shared" si="8"/>
        <v>400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0</v>
      </c>
      <c r="D74" s="1699">
        <f t="shared" ref="D74:K74" si="10">SUM(D42,D47,D53,D57,D65,D72,D73)</f>
        <v>8653</v>
      </c>
      <c r="E74" s="1699">
        <f t="shared" si="10"/>
        <v>28873</v>
      </c>
      <c r="F74" s="1699">
        <f t="shared" si="10"/>
        <v>5430</v>
      </c>
      <c r="G74" s="1699">
        <f t="shared" si="10"/>
        <v>0</v>
      </c>
      <c r="H74" s="1699">
        <f t="shared" si="10"/>
        <v>558</v>
      </c>
      <c r="I74" s="1699">
        <f t="shared" si="10"/>
        <v>0</v>
      </c>
      <c r="J74" s="1699">
        <f t="shared" si="10"/>
        <v>0</v>
      </c>
      <c r="K74" s="1699">
        <f t="shared" si="10"/>
        <v>43514</v>
      </c>
      <c r="L74" s="1699">
        <f>SUM(L42,L47,L53,L57,L65,L72,L73)</f>
        <v>88816</v>
      </c>
    </row>
    <row r="75" spans="1:14" s="259" customFormat="1" ht="15.75" customHeight="1" thickTop="1" thickBot="1" x14ac:dyDescent="0.25">
      <c r="A75" s="1632" t="s">
        <v>49</v>
      </c>
      <c r="B75" s="1633" t="s">
        <v>596</v>
      </c>
      <c r="C75" s="573"/>
      <c r="D75" s="573"/>
      <c r="E75" s="573"/>
      <c r="F75" s="573">
        <v>125</v>
      </c>
      <c r="G75" s="573"/>
      <c r="H75" s="573">
        <v>150</v>
      </c>
      <c r="I75" s="531"/>
      <c r="J75" s="531"/>
      <c r="K75" s="1692">
        <f>SUM(C75:J75)</f>
        <v>275</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f>666+3883+245+1801+1652</f>
        <v>8247</v>
      </c>
      <c r="F81" s="617"/>
      <c r="G81" s="617"/>
      <c r="H81" s="466">
        <f>71199+79036+10588+297159+3305+67702+600+5000+9323+195807+7381+4000</f>
        <v>751100</v>
      </c>
      <c r="I81" s="477"/>
      <c r="J81" s="477"/>
      <c r="K81" s="1693">
        <f t="shared" si="11"/>
        <v>759347</v>
      </c>
      <c r="L81" s="466">
        <v>855604</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8247</v>
      </c>
      <c r="F84" s="617"/>
      <c r="G84" s="617"/>
      <c r="H84" s="1692">
        <f>SUM(H78:H83)</f>
        <v>751100</v>
      </c>
      <c r="I84" s="477"/>
      <c r="J84" s="477"/>
      <c r="K84" s="1692">
        <f>SUM(K78:K83)</f>
        <v>759347</v>
      </c>
      <c r="L84" s="1692">
        <f>SUM(L78:L83)</f>
        <v>855604</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8247</v>
      </c>
      <c r="F102" s="617"/>
      <c r="G102" s="617"/>
      <c r="H102" s="1699">
        <f>SUM(H84,H92,H100,H101)</f>
        <v>751100</v>
      </c>
      <c r="I102" s="477"/>
      <c r="J102" s="477"/>
      <c r="K102" s="1699">
        <f>SUM(K84,K92,K100,K101)</f>
        <v>759347</v>
      </c>
      <c r="L102" s="1699">
        <f>SUM(L84,L92,L100,L101)</f>
        <v>855604</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0</v>
      </c>
      <c r="D114" s="1692">
        <f t="shared" ref="D114:K114" si="13">SUM(D33,D74,D75,D102,D112,D113)</f>
        <v>8653</v>
      </c>
      <c r="E114" s="1692">
        <f t="shared" si="13"/>
        <v>40866</v>
      </c>
      <c r="F114" s="1692">
        <f t="shared" si="13"/>
        <v>126501</v>
      </c>
      <c r="G114" s="1692">
        <f t="shared" si="13"/>
        <v>91410</v>
      </c>
      <c r="H114" s="1692">
        <f>SUM(H33,H74,H75,H102,H112,H113)</f>
        <v>751808</v>
      </c>
      <c r="I114" s="1692">
        <f t="shared" si="13"/>
        <v>0</v>
      </c>
      <c r="J114" s="1692">
        <f t="shared" si="13"/>
        <v>0</v>
      </c>
      <c r="K114" s="1692">
        <f t="shared" si="13"/>
        <v>1019238</v>
      </c>
      <c r="L114" s="1692">
        <f>SUM(L33,L74,L75,L102,L112,L113)</f>
        <v>1299488</v>
      </c>
    </row>
    <row r="115" spans="1:14" ht="13.5" thickTop="1" x14ac:dyDescent="0.2">
      <c r="A115" s="2172" t="s">
        <v>1053</v>
      </c>
      <c r="B115" s="2173"/>
      <c r="C115" s="619"/>
      <c r="D115" s="619"/>
      <c r="E115" s="619"/>
      <c r="F115" s="619"/>
      <c r="G115" s="619"/>
      <c r="H115" s="619"/>
      <c r="I115" s="619"/>
      <c r="J115" s="619"/>
      <c r="K115" s="1706">
        <f>'Revenues 9-14'!C275-'Expenditures 15-22'!K114</f>
        <v>144474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c r="D124" s="466"/>
      <c r="E124" s="466"/>
      <c r="F124" s="466"/>
      <c r="G124" s="466"/>
      <c r="H124" s="466"/>
      <c r="I124" s="467"/>
      <c r="J124" s="467"/>
      <c r="K124" s="1692">
        <f>SUM(C124:J124)</f>
        <v>0</v>
      </c>
      <c r="L124" s="466"/>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0</v>
      </c>
      <c r="D127" s="1692">
        <f t="shared" ref="D127:L127" si="14">SUM(D122:D126)</f>
        <v>0</v>
      </c>
      <c r="E127" s="1692">
        <f t="shared" si="14"/>
        <v>0</v>
      </c>
      <c r="F127" s="1692">
        <f t="shared" si="14"/>
        <v>0</v>
      </c>
      <c r="G127" s="1692">
        <f t="shared" si="14"/>
        <v>0</v>
      </c>
      <c r="H127" s="1692">
        <f t="shared" si="14"/>
        <v>0</v>
      </c>
      <c r="I127" s="1692">
        <f t="shared" si="14"/>
        <v>0</v>
      </c>
      <c r="J127" s="1692">
        <f t="shared" si="14"/>
        <v>0</v>
      </c>
      <c r="K127" s="1692">
        <f t="shared" si="14"/>
        <v>0</v>
      </c>
      <c r="L127" s="1692">
        <f t="shared" si="14"/>
        <v>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0</v>
      </c>
      <c r="D129" s="1699">
        <f t="shared" ref="D129:L129" si="15">SUM(D120,D127,D128)</f>
        <v>0</v>
      </c>
      <c r="E129" s="1699">
        <f t="shared" si="15"/>
        <v>0</v>
      </c>
      <c r="F129" s="1699">
        <f t="shared" si="15"/>
        <v>0</v>
      </c>
      <c r="G129" s="1699">
        <f t="shared" si="15"/>
        <v>0</v>
      </c>
      <c r="H129" s="1699">
        <f t="shared" si="15"/>
        <v>0</v>
      </c>
      <c r="I129" s="1699">
        <f t="shared" si="15"/>
        <v>0</v>
      </c>
      <c r="J129" s="1699">
        <f t="shared" si="15"/>
        <v>0</v>
      </c>
      <c r="K129" s="1699">
        <f t="shared" si="15"/>
        <v>0</v>
      </c>
      <c r="L129" s="1699">
        <f t="shared" si="15"/>
        <v>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9" t="s">
        <v>641</v>
      </c>
      <c r="B151" s="2169"/>
      <c r="C151" s="1692">
        <f>SUM(C129,C130,C139,C149,C150)</f>
        <v>0</v>
      </c>
      <c r="D151" s="1692">
        <f t="shared" ref="D151:K151" si="16">SUM(D129,D130,D139,D149,D150)</f>
        <v>0</v>
      </c>
      <c r="E151" s="1692">
        <f t="shared" si="16"/>
        <v>0</v>
      </c>
      <c r="F151" s="1692">
        <f t="shared" si="16"/>
        <v>0</v>
      </c>
      <c r="G151" s="1692">
        <f t="shared" si="16"/>
        <v>0</v>
      </c>
      <c r="H151" s="1692">
        <f t="shared" si="16"/>
        <v>0</v>
      </c>
      <c r="I151" s="1692">
        <f t="shared" si="16"/>
        <v>0</v>
      </c>
      <c r="J151" s="1692">
        <f t="shared" si="16"/>
        <v>0</v>
      </c>
      <c r="K151" s="1692">
        <f t="shared" si="16"/>
        <v>0</v>
      </c>
      <c r="L151" s="1692">
        <f>SUM(L129,L130,L139,L149,L150)</f>
        <v>0</v>
      </c>
    </row>
    <row r="152" spans="1:14" ht="12.75" customHeight="1" thickTop="1" x14ac:dyDescent="0.2">
      <c r="A152" s="2192" t="s">
        <v>1240</v>
      </c>
      <c r="B152" s="2193"/>
      <c r="C152" s="619"/>
      <c r="D152" s="619"/>
      <c r="E152" s="619"/>
      <c r="F152" s="619"/>
      <c r="G152" s="619"/>
      <c r="H152" s="619"/>
      <c r="I152" s="619"/>
      <c r="J152" s="617"/>
      <c r="K152" s="1706">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c r="I169" s="617"/>
      <c r="J169" s="617"/>
      <c r="K169" s="1693">
        <f>SUM(C169:H169)</f>
        <v>0</v>
      </c>
      <c r="L169" s="657"/>
    </row>
    <row r="170" spans="1:14" ht="33.75" customHeight="1" x14ac:dyDescent="0.2">
      <c r="A170" s="670" t="s">
        <v>1769</v>
      </c>
      <c r="B170" s="672" t="s">
        <v>31</v>
      </c>
      <c r="C170" s="617"/>
      <c r="D170" s="617"/>
      <c r="E170" s="617"/>
      <c r="F170" s="617"/>
      <c r="G170" s="617"/>
      <c r="H170" s="569"/>
      <c r="I170" s="617"/>
      <c r="J170" s="617"/>
      <c r="K170" s="1693">
        <f>SUM(C170:J170)</f>
        <v>0</v>
      </c>
      <c r="L170" s="569"/>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0</v>
      </c>
      <c r="I172" s="639"/>
      <c r="J172" s="617"/>
      <c r="K172" s="1699">
        <f>SUM(K168,K169,K170,K171)</f>
        <v>0</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0</v>
      </c>
      <c r="I174" s="639"/>
      <c r="J174" s="617"/>
      <c r="K174" s="1699">
        <f>SUM(K160,K172,K173)</f>
        <v>0</v>
      </c>
      <c r="L174" s="1699">
        <f>SUM(L160,L172,L173)</f>
        <v>0</v>
      </c>
    </row>
    <row r="175" spans="1:14" ht="13.5" thickTop="1" x14ac:dyDescent="0.2">
      <c r="A175" s="2172" t="s">
        <v>1053</v>
      </c>
      <c r="B175" s="2173"/>
      <c r="C175" s="617"/>
      <c r="D175" s="617"/>
      <c r="E175" s="617"/>
      <c r="F175" s="617"/>
      <c r="G175" s="617"/>
      <c r="H175" s="619"/>
      <c r="I175" s="617"/>
      <c r="J175" s="617"/>
      <c r="K175" s="1706">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c r="F182" s="466"/>
      <c r="G182" s="466"/>
      <c r="H182" s="466"/>
      <c r="I182" s="467"/>
      <c r="J182" s="467"/>
      <c r="K182" s="1693">
        <f>SUM(C182:J182)</f>
        <v>0</v>
      </c>
      <c r="L182" s="466"/>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0</v>
      </c>
      <c r="D184" s="1699">
        <f t="shared" ref="D184:J184" si="17">SUM(D180,D182,D183)</f>
        <v>0</v>
      </c>
      <c r="E184" s="1699">
        <f t="shared" si="17"/>
        <v>0</v>
      </c>
      <c r="F184" s="1699">
        <f t="shared" si="17"/>
        <v>0</v>
      </c>
      <c r="G184" s="1699">
        <f t="shared" si="17"/>
        <v>0</v>
      </c>
      <c r="H184" s="1699">
        <f t="shared" si="17"/>
        <v>0</v>
      </c>
      <c r="I184" s="1699">
        <f t="shared" si="17"/>
        <v>0</v>
      </c>
      <c r="J184" s="1699">
        <f t="shared" si="17"/>
        <v>0</v>
      </c>
      <c r="K184" s="1699">
        <f>SUM(K180,K182,K183)</f>
        <v>0</v>
      </c>
      <c r="L184" s="1699">
        <f>SUM(L180, L182:L183)</f>
        <v>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0</v>
      </c>
      <c r="D210" s="1692">
        <f>SUM(D184,D185)</f>
        <v>0</v>
      </c>
      <c r="E210" s="1692">
        <f>SUM(E184,E185,E196)</f>
        <v>0</v>
      </c>
      <c r="F210" s="1692">
        <f>SUM(F184,F185)</f>
        <v>0</v>
      </c>
      <c r="G210" s="1692">
        <f>SUM(G184,G185)</f>
        <v>0</v>
      </c>
      <c r="H210" s="1692">
        <f>SUM(H184,H185,H196,H208,H209)</f>
        <v>0</v>
      </c>
      <c r="I210" s="1692">
        <f>SUM(I184,I185)</f>
        <v>0</v>
      </c>
      <c r="J210" s="1692">
        <f>SUM(J184,J185)</f>
        <v>0</v>
      </c>
      <c r="K210" s="1693">
        <f>SUM(K184,K185,K196,K208,K209)</f>
        <v>0</v>
      </c>
      <c r="L210" s="1692">
        <f>SUM(L184,L185,L196,L208,L209)</f>
        <v>0</v>
      </c>
    </row>
    <row r="211" spans="1:14" ht="13.5" thickTop="1" x14ac:dyDescent="0.2">
      <c r="A211" s="2172" t="s">
        <v>1053</v>
      </c>
      <c r="B211" s="2173"/>
      <c r="C211" s="619"/>
      <c r="D211" s="619"/>
      <c r="E211" s="619"/>
      <c r="F211" s="619"/>
      <c r="G211" s="619"/>
      <c r="H211" s="619"/>
      <c r="I211" s="617"/>
      <c r="J211" s="617"/>
      <c r="K211" s="1706">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c r="E215" s="617"/>
      <c r="F215" s="617"/>
      <c r="G215" s="617"/>
      <c r="H215" s="617"/>
      <c r="I215" s="617"/>
      <c r="J215" s="617"/>
      <c r="K215" s="1693">
        <f>D215</f>
        <v>0</v>
      </c>
      <c r="L215" s="466"/>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c r="E223" s="617"/>
      <c r="F223" s="617"/>
      <c r="G223" s="617"/>
      <c r="H223" s="617"/>
      <c r="I223" s="617"/>
      <c r="J223" s="617"/>
      <c r="K223" s="1693">
        <f t="shared" si="19"/>
        <v>0</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0</v>
      </c>
      <c r="E229" s="617"/>
      <c r="F229" s="617"/>
      <c r="G229" s="617"/>
      <c r="H229" s="617"/>
      <c r="I229" s="617"/>
      <c r="J229" s="617"/>
      <c r="K229" s="1692">
        <f>SUM(K215:K228)</f>
        <v>0</v>
      </c>
      <c r="L229" s="1692">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c r="E246" s="617"/>
      <c r="F246" s="617"/>
      <c r="G246" s="617"/>
      <c r="H246" s="617"/>
      <c r="I246" s="617"/>
      <c r="J246" s="617"/>
      <c r="K246" s="1694">
        <f t="shared" ref="K246:K256" si="21">D246</f>
        <v>0</v>
      </c>
      <c r="L246" s="466"/>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0</v>
      </c>
      <c r="E257" s="617"/>
      <c r="F257" s="617"/>
      <c r="G257" s="617"/>
      <c r="H257" s="617"/>
      <c r="I257" s="617"/>
      <c r="J257" s="617"/>
      <c r="K257" s="1692">
        <f>SUM(K245:K256)</f>
        <v>0</v>
      </c>
      <c r="L257" s="1692">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4">
        <f>D259</f>
        <v>0</v>
      </c>
      <c r="L259" s="481"/>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0</v>
      </c>
      <c r="E261" s="617"/>
      <c r="F261" s="617"/>
      <c r="G261" s="617"/>
      <c r="H261" s="617"/>
      <c r="I261" s="617"/>
      <c r="J261" s="617"/>
      <c r="K261" s="1692">
        <f>SUM(K259:K260)</f>
        <v>0</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c r="E266" s="617"/>
      <c r="F266" s="617"/>
      <c r="G266" s="617"/>
      <c r="H266" s="617"/>
      <c r="I266" s="617"/>
      <c r="J266" s="617"/>
      <c r="K266" s="1694">
        <f t="shared" si="22"/>
        <v>0</v>
      </c>
      <c r="L266" s="466"/>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0</v>
      </c>
      <c r="E270" s="617"/>
      <c r="F270" s="617"/>
      <c r="G270" s="617"/>
      <c r="H270" s="617"/>
      <c r="I270" s="617"/>
      <c r="J270" s="617"/>
      <c r="K270" s="1692">
        <f>SUM(K263:K269)</f>
        <v>0</v>
      </c>
      <c r="L270" s="1692">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0</v>
      </c>
      <c r="E279" s="617"/>
      <c r="F279" s="617"/>
      <c r="G279" s="617"/>
      <c r="H279" s="617"/>
      <c r="I279" s="617"/>
      <c r="J279" s="617"/>
      <c r="K279" s="1699">
        <f>SUM(K238,K243,K257,K261,K270,K277,K278)</f>
        <v>0</v>
      </c>
      <c r="L279" s="1699">
        <f>SUM(L238,L243,L257,L261,L270,L277,L278)</f>
        <v>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0" t="s">
        <v>526</v>
      </c>
      <c r="B295" s="2191"/>
      <c r="C295" s="617"/>
      <c r="D295" s="1692">
        <f>SUM(D229,D279,D280,D285)</f>
        <v>0</v>
      </c>
      <c r="E295" s="617"/>
      <c r="F295" s="617"/>
      <c r="G295" s="617"/>
      <c r="H295" s="1692">
        <f>H293</f>
        <v>0</v>
      </c>
      <c r="I295" s="617"/>
      <c r="J295" s="617"/>
      <c r="K295" s="1692">
        <f>SUM(K229,K279,K280,K285,K293,K294)</f>
        <v>0</v>
      </c>
      <c r="L295" s="1692">
        <f>SUM(L229,L279,L280,L285,L293,L294)</f>
        <v>0</v>
      </c>
    </row>
    <row r="296" spans="1:14" ht="13.5" thickTop="1" x14ac:dyDescent="0.2">
      <c r="A296" s="2172" t="s">
        <v>1053</v>
      </c>
      <c r="B296" s="2173"/>
      <c r="C296" s="617"/>
      <c r="D296" s="619"/>
      <c r="E296" s="617"/>
      <c r="F296" s="617"/>
      <c r="G296" s="617"/>
      <c r="H296" s="688"/>
      <c r="I296" s="617"/>
      <c r="J296" s="617"/>
      <c r="K296" s="1706">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7" t="s">
        <v>295</v>
      </c>
      <c r="B312" s="2188"/>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3" t="s">
        <v>1053</v>
      </c>
      <c r="B313" s="2184"/>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5" t="s">
        <v>1053</v>
      </c>
      <c r="B343" s="2186"/>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72" t="s">
        <v>1053</v>
      </c>
      <c r="B368" s="2173"/>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G57" sqref="G5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199" t="s">
        <v>1905</v>
      </c>
      <c r="B2" s="1550" t="s">
        <v>2035</v>
      </c>
      <c r="C2" s="715" t="s">
        <v>1910</v>
      </c>
      <c r="D2" s="715" t="s">
        <v>1911</v>
      </c>
      <c r="E2" s="715" t="s">
        <v>1912</v>
      </c>
      <c r="F2" s="715" t="s">
        <v>1913</v>
      </c>
    </row>
    <row r="3" spans="1:6" ht="12" customHeight="1" x14ac:dyDescent="0.2">
      <c r="A3" s="2200"/>
      <c r="B3" s="1547"/>
      <c r="C3" s="1548"/>
      <c r="D3" s="1549" t="s">
        <v>274</v>
      </c>
      <c r="E3" s="1548"/>
      <c r="F3" s="1549" t="s">
        <v>275</v>
      </c>
    </row>
    <row r="4" spans="1:6" ht="13.7" customHeight="1" x14ac:dyDescent="0.2">
      <c r="A4" s="716" t="s">
        <v>1217</v>
      </c>
      <c r="B4" s="1771">
        <f>'Revenues 9-14'!C5</f>
        <v>0</v>
      </c>
      <c r="C4" s="1546"/>
      <c r="D4" s="1774">
        <f>B4-C4</f>
        <v>0</v>
      </c>
      <c r="E4" s="1546"/>
      <c r="F4" s="1774">
        <f>E4-C4</f>
        <v>0</v>
      </c>
    </row>
    <row r="5" spans="1:6" ht="13.7" customHeight="1" x14ac:dyDescent="0.2">
      <c r="A5" s="716" t="s">
        <v>925</v>
      </c>
      <c r="B5" s="1772">
        <f>'Revenues 9-14'!D5</f>
        <v>0</v>
      </c>
      <c r="C5" s="585"/>
      <c r="D5" s="1775">
        <f t="shared" ref="D5:D18" si="0">B5-C5</f>
        <v>0</v>
      </c>
      <c r="E5" s="585"/>
      <c r="F5" s="1775">
        <f>E5-C5</f>
        <v>0</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f>'Revenues 9-14'!F5</f>
        <v>0</v>
      </c>
      <c r="C7" s="585"/>
      <c r="D7" s="1775">
        <f t="shared" si="0"/>
        <v>0</v>
      </c>
      <c r="E7" s="585"/>
      <c r="F7" s="1775">
        <f t="shared" si="1"/>
        <v>0</v>
      </c>
    </row>
    <row r="8" spans="1:6" ht="13.7" customHeight="1" x14ac:dyDescent="0.2">
      <c r="A8" s="716" t="s">
        <v>1241</v>
      </c>
      <c r="B8" s="1772">
        <f>'Revenues 9-14'!G5</f>
        <v>0</v>
      </c>
      <c r="C8" s="585"/>
      <c r="D8" s="1775">
        <f t="shared" si="0"/>
        <v>0</v>
      </c>
      <c r="E8" s="585"/>
      <c r="F8" s="1775">
        <f t="shared" si="1"/>
        <v>0</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0</v>
      </c>
      <c r="C14" s="585"/>
      <c r="D14" s="1775">
        <f t="shared" si="0"/>
        <v>0</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0</v>
      </c>
      <c r="C16" s="585"/>
      <c r="D16" s="1775">
        <f t="shared" si="0"/>
        <v>0</v>
      </c>
      <c r="E16" s="585"/>
      <c r="F16" s="1775">
        <f t="shared" si="1"/>
        <v>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0</v>
      </c>
      <c r="C19" s="1773">
        <f>SUM(C4:C18)</f>
        <v>0</v>
      </c>
      <c r="D19" s="1773">
        <f>SUM(D4:D18)</f>
        <v>0</v>
      </c>
      <c r="E19" s="1773">
        <f>SUM(E4:E18)</f>
        <v>0</v>
      </c>
      <c r="F19" s="1773">
        <f>SUM(F4:F18)</f>
        <v>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G57" sqref="G57"/>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1" t="s">
        <v>650</v>
      </c>
      <c r="B1" s="2219"/>
      <c r="C1" s="722"/>
    </row>
    <row r="2" spans="1:7" ht="33.75" x14ac:dyDescent="0.2">
      <c r="A2" s="2226" t="s">
        <v>1905</v>
      </c>
      <c r="B2" s="2227"/>
      <c r="C2" s="1909" t="s">
        <v>2036</v>
      </c>
      <c r="D2" s="724" t="s">
        <v>2043</v>
      </c>
      <c r="E2" s="724" t="s">
        <v>2044</v>
      </c>
      <c r="F2" s="1909" t="s">
        <v>2037</v>
      </c>
    </row>
    <row r="3" spans="1:7" ht="15.75" customHeight="1" x14ac:dyDescent="0.2">
      <c r="A3" s="2228" t="s">
        <v>1176</v>
      </c>
      <c r="B3" s="2229"/>
      <c r="C3" s="2222"/>
      <c r="D3" s="2223"/>
      <c r="E3" s="2223"/>
      <c r="F3" s="2224"/>
    </row>
    <row r="4" spans="1:7" ht="12.75" customHeight="1" thickBot="1" x14ac:dyDescent="0.25">
      <c r="A4" s="2216" t="s">
        <v>651</v>
      </c>
      <c r="B4" s="2217"/>
      <c r="C4" s="581"/>
      <c r="D4" s="581"/>
      <c r="E4" s="581"/>
      <c r="F4" s="1777">
        <f>SUM(C4+D4)-E4</f>
        <v>0</v>
      </c>
    </row>
    <row r="5" spans="1:7" ht="15.75" customHeight="1" thickTop="1" x14ac:dyDescent="0.2">
      <c r="A5" s="2220" t="s">
        <v>1172</v>
      </c>
      <c r="B5" s="2215"/>
      <c r="C5" s="2209"/>
      <c r="D5" s="2210"/>
      <c r="E5" s="2210"/>
      <c r="F5" s="2211"/>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2" t="s">
        <v>652</v>
      </c>
      <c r="B15" s="2213"/>
      <c r="C15" s="1777">
        <f>SUM(C6:C14)</f>
        <v>0</v>
      </c>
      <c r="D15" s="1777">
        <f>SUM(D6:D14)</f>
        <v>0</v>
      </c>
      <c r="E15" s="1777">
        <f>SUM(E6:E14)</f>
        <v>0</v>
      </c>
      <c r="F15" s="1777">
        <f>SUM(F6:F14)</f>
        <v>0</v>
      </c>
      <c r="G15" s="552"/>
    </row>
    <row r="16" spans="1:7" s="202" customFormat="1" ht="15.75" customHeight="1" thickTop="1" x14ac:dyDescent="0.2">
      <c r="A16" s="2225" t="s">
        <v>1173</v>
      </c>
      <c r="B16" s="2215"/>
      <c r="C16" s="2209"/>
      <c r="D16" s="2210"/>
      <c r="E16" s="2210"/>
      <c r="F16" s="2211"/>
    </row>
    <row r="17" spans="1:11" ht="12.75" customHeight="1" thickBot="1" x14ac:dyDescent="0.25">
      <c r="A17" s="2207" t="s">
        <v>66</v>
      </c>
      <c r="B17" s="2208"/>
      <c r="C17" s="727"/>
      <c r="D17" s="585"/>
      <c r="E17" s="727"/>
      <c r="F17" s="1777">
        <f>SUM(C17+D17)-E17</f>
        <v>0</v>
      </c>
    </row>
    <row r="18" spans="1:11" ht="12.75" customHeight="1" thickTop="1" thickBot="1" x14ac:dyDescent="0.25">
      <c r="A18" s="2207" t="s">
        <v>6</v>
      </c>
      <c r="B18" s="2208"/>
      <c r="C18" s="727"/>
      <c r="D18" s="585"/>
      <c r="E18" s="727"/>
      <c r="F18" s="1777">
        <f>SUM(C18+D18)-E18</f>
        <v>0</v>
      </c>
    </row>
    <row r="19" spans="1:11" ht="12.75" customHeight="1" thickTop="1" thickBot="1" x14ac:dyDescent="0.25">
      <c r="A19" s="2207" t="s">
        <v>406</v>
      </c>
      <c r="B19" s="2208"/>
      <c r="C19" s="727"/>
      <c r="D19" s="585"/>
      <c r="E19" s="727"/>
      <c r="F19" s="1777">
        <f>SUM(C19+D19)-E19</f>
        <v>0</v>
      </c>
    </row>
    <row r="20" spans="1:11" ht="12.75" customHeight="1" thickTop="1" thickBot="1" x14ac:dyDescent="0.25">
      <c r="A20" s="2207" t="s">
        <v>468</v>
      </c>
      <c r="B20" s="2208"/>
      <c r="C20" s="727"/>
      <c r="D20" s="585"/>
      <c r="E20" s="727"/>
      <c r="F20" s="1777">
        <f>SUM(C20+D20)-E20</f>
        <v>0</v>
      </c>
    </row>
    <row r="21" spans="1:11" ht="14.25" thickTop="1" thickBot="1" x14ac:dyDescent="0.25">
      <c r="A21" s="2212" t="s">
        <v>653</v>
      </c>
      <c r="B21" s="2213"/>
      <c r="C21" s="1777">
        <f>SUM(C17:C20)</f>
        <v>0</v>
      </c>
      <c r="D21" s="1777">
        <f>SUM(D17:D20)</f>
        <v>0</v>
      </c>
      <c r="E21" s="1777">
        <f>SUM(E17:E20)</f>
        <v>0</v>
      </c>
      <c r="F21" s="1777">
        <f>SUM(F17:F20)</f>
        <v>0</v>
      </c>
      <c r="G21" s="552"/>
    </row>
    <row r="22" spans="1:11" ht="15.75" customHeight="1" thickTop="1" x14ac:dyDescent="0.2">
      <c r="A22" s="2214" t="s">
        <v>1174</v>
      </c>
      <c r="B22" s="2215"/>
      <c r="C22" s="2209"/>
      <c r="D22" s="2210"/>
      <c r="E22" s="2210"/>
      <c r="F22" s="2211"/>
    </row>
    <row r="23" spans="1:11" ht="13.5" thickBot="1" x14ac:dyDescent="0.25">
      <c r="A23" s="2216" t="s">
        <v>654</v>
      </c>
      <c r="B23" s="2217"/>
      <c r="C23" s="581"/>
      <c r="D23" s="581"/>
      <c r="E23" s="581"/>
      <c r="F23" s="1777">
        <f>SUM(C23+D23)-E23</f>
        <v>0</v>
      </c>
      <c r="G23" s="552"/>
    </row>
    <row r="24" spans="1:11" ht="15.75" customHeight="1" thickTop="1" x14ac:dyDescent="0.2">
      <c r="A24" s="2214" t="s">
        <v>1175</v>
      </c>
      <c r="B24" s="2215"/>
      <c r="C24" s="2209"/>
      <c r="D24" s="2210"/>
      <c r="E24" s="2210"/>
      <c r="F24" s="2211"/>
    </row>
    <row r="25" spans="1:11" ht="13.5" thickBot="1" x14ac:dyDescent="0.25">
      <c r="A25" s="2216" t="s">
        <v>655</v>
      </c>
      <c r="B25" s="2217"/>
      <c r="C25" s="581"/>
      <c r="D25" s="581"/>
      <c r="E25" s="581"/>
      <c r="F25" s="1777">
        <f>SUM(C25+D25)-E25</f>
        <v>0</v>
      </c>
      <c r="G25" s="552"/>
    </row>
    <row r="26" spans="1:11" ht="15.75" customHeight="1" thickTop="1" x14ac:dyDescent="0.2">
      <c r="A26" s="2220" t="s">
        <v>678</v>
      </c>
      <c r="B26" s="2215"/>
      <c r="C26" s="728"/>
      <c r="D26" s="728"/>
      <c r="E26" s="728"/>
      <c r="F26" s="729"/>
    </row>
    <row r="27" spans="1:11" ht="13.5" thickBot="1" x14ac:dyDescent="0.25">
      <c r="A27" s="2212" t="s">
        <v>1130</v>
      </c>
      <c r="B27" s="2213"/>
      <c r="C27" s="585"/>
      <c r="D27" s="585"/>
      <c r="E27" s="585"/>
      <c r="F27" s="1777">
        <f>SUM(C27+D27)-E27</f>
        <v>0</v>
      </c>
      <c r="G27" s="552"/>
    </row>
    <row r="28" spans="1:11" ht="7.5" customHeight="1" thickTop="1" x14ac:dyDescent="0.2">
      <c r="A28" s="594"/>
    </row>
    <row r="29" spans="1:11" ht="23.25" customHeight="1" x14ac:dyDescent="0.2">
      <c r="A29" s="2218" t="s">
        <v>603</v>
      </c>
      <c r="B29" s="2219"/>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c r="B31" s="734"/>
      <c r="C31" s="735"/>
      <c r="D31" s="736"/>
      <c r="E31" s="735"/>
      <c r="F31" s="735"/>
      <c r="G31" s="735"/>
      <c r="H31" s="735"/>
      <c r="I31" s="1778">
        <f>((E31+F31)-H31)+G31</f>
        <v>0</v>
      </c>
      <c r="J31" s="735"/>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0</v>
      </c>
      <c r="D49" s="746"/>
      <c r="E49" s="1778">
        <f t="shared" ref="E49:J49" si="2">SUM(E31:E48)</f>
        <v>0</v>
      </c>
      <c r="F49" s="1778">
        <f t="shared" si="2"/>
        <v>0</v>
      </c>
      <c r="G49" s="1778">
        <f t="shared" si="2"/>
        <v>0</v>
      </c>
      <c r="H49" s="1778">
        <f t="shared" si="2"/>
        <v>0</v>
      </c>
      <c r="I49" s="1778">
        <f t="shared" si="2"/>
        <v>0</v>
      </c>
      <c r="J49" s="1778">
        <f t="shared" si="2"/>
        <v>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1" t="s">
        <v>605</v>
      </c>
      <c r="C52" s="2202"/>
      <c r="D52" s="2202"/>
      <c r="E52" s="750" t="s">
        <v>900</v>
      </c>
      <c r="F52" s="2203"/>
      <c r="G52" s="2204"/>
      <c r="H52" s="737"/>
      <c r="I52" s="737"/>
      <c r="J52" s="747"/>
    </row>
    <row r="53" spans="1:11" ht="11.25" customHeight="1" x14ac:dyDescent="0.2">
      <c r="A53" s="751" t="s">
        <v>969</v>
      </c>
      <c r="B53" s="752" t="s">
        <v>1008</v>
      </c>
      <c r="C53" s="747"/>
      <c r="D53" s="738"/>
      <c r="E53" s="750" t="s">
        <v>518</v>
      </c>
      <c r="F53" s="2205"/>
      <c r="G53" s="2206"/>
      <c r="H53" s="737"/>
      <c r="I53" s="737"/>
      <c r="J53" s="747"/>
    </row>
    <row r="54" spans="1:11" ht="11.25" customHeight="1" x14ac:dyDescent="0.2">
      <c r="A54" s="753" t="s">
        <v>970</v>
      </c>
      <c r="B54" s="748" t="s">
        <v>1009</v>
      </c>
      <c r="C54" s="747"/>
      <c r="D54" s="738"/>
      <c r="E54" s="750" t="s">
        <v>519</v>
      </c>
      <c r="F54" s="2205"/>
      <c r="G54" s="220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activeCell="G57" sqref="G5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0" t="s">
        <v>911</v>
      </c>
      <c r="B1" s="2231"/>
      <c r="C1" s="2231"/>
      <c r="D1" s="2231"/>
      <c r="E1" s="2231"/>
      <c r="F1" s="2231"/>
      <c r="G1" s="2232"/>
      <c r="H1" s="1552"/>
      <c r="I1" s="761"/>
      <c r="J1" s="433"/>
    </row>
    <row r="2" spans="1:11" ht="26.25" x14ac:dyDescent="0.2">
      <c r="A2" s="2249" t="s">
        <v>1776</v>
      </c>
      <c r="B2" s="2250"/>
      <c r="C2" s="2250"/>
      <c r="D2" s="2250"/>
      <c r="E2" s="2251"/>
      <c r="F2" s="762" t="s">
        <v>960</v>
      </c>
      <c r="G2" s="763" t="s">
        <v>1773</v>
      </c>
      <c r="H2" s="763" t="s">
        <v>430</v>
      </c>
      <c r="I2" s="763" t="s">
        <v>1220</v>
      </c>
      <c r="J2" s="763" t="s">
        <v>1919</v>
      </c>
      <c r="K2" s="763" t="s">
        <v>140</v>
      </c>
    </row>
    <row r="3" spans="1:11" x14ac:dyDescent="0.2">
      <c r="A3" s="2252" t="s">
        <v>1698</v>
      </c>
      <c r="B3" s="2253"/>
      <c r="C3" s="2253"/>
      <c r="D3" s="2253"/>
      <c r="E3" s="2254"/>
      <c r="F3" s="764"/>
      <c r="G3" s="765"/>
      <c r="H3" s="765"/>
      <c r="I3" s="765"/>
      <c r="J3" s="766"/>
      <c r="K3" s="766"/>
    </row>
    <row r="4" spans="1:11" x14ac:dyDescent="0.2">
      <c r="A4" s="2255" t="s">
        <v>387</v>
      </c>
      <c r="B4" s="2256"/>
      <c r="C4" s="2256"/>
      <c r="D4" s="2256"/>
      <c r="E4" s="2202"/>
      <c r="F4" s="767"/>
      <c r="G4" s="768"/>
      <c r="H4" s="769"/>
      <c r="I4" s="768"/>
      <c r="J4" s="770"/>
      <c r="K4" s="770"/>
    </row>
    <row r="5" spans="1:11" x14ac:dyDescent="0.2">
      <c r="A5" s="2233" t="s">
        <v>1129</v>
      </c>
      <c r="B5" s="2234"/>
      <c r="C5" s="2234"/>
      <c r="D5" s="2234"/>
      <c r="E5" s="2235"/>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3" t="s">
        <v>1920</v>
      </c>
      <c r="B10" s="2234"/>
      <c r="C10" s="2234"/>
      <c r="D10" s="2234"/>
      <c r="E10" s="2236"/>
      <c r="F10" s="784" t="s">
        <v>917</v>
      </c>
      <c r="G10" s="783"/>
      <c r="H10" s="785"/>
      <c r="I10" s="765"/>
      <c r="J10" s="766"/>
      <c r="K10" s="766"/>
    </row>
    <row r="11" spans="1:11" x14ac:dyDescent="0.2">
      <c r="A11" s="2233" t="s">
        <v>162</v>
      </c>
      <c r="B11" s="2234"/>
      <c r="C11" s="2234"/>
      <c r="D11" s="2234"/>
      <c r="E11" s="2235"/>
      <c r="F11" s="771" t="s">
        <v>907</v>
      </c>
      <c r="G11" s="772"/>
      <c r="H11" s="765"/>
      <c r="I11" s="765"/>
      <c r="J11" s="766"/>
      <c r="K11" s="774"/>
    </row>
    <row r="12" spans="1:11" ht="13.5" thickBot="1" x14ac:dyDescent="0.25">
      <c r="A12" s="2260" t="s">
        <v>961</v>
      </c>
      <c r="B12" s="2261"/>
      <c r="C12" s="2261"/>
      <c r="D12" s="2261"/>
      <c r="E12" s="2262"/>
      <c r="F12" s="1779"/>
      <c r="G12" s="1780">
        <f>SUM(G5:G11)</f>
        <v>0</v>
      </c>
      <c r="H12" s="1780">
        <f>SUM(H5:H11)</f>
        <v>0</v>
      </c>
      <c r="I12" s="1780">
        <f>SUM(I5:I11)</f>
        <v>0</v>
      </c>
      <c r="J12" s="1780">
        <f>SUM(J5:J11)</f>
        <v>0</v>
      </c>
      <c r="K12" s="1780">
        <f>SUM(K5:K11)</f>
        <v>0</v>
      </c>
    </row>
    <row r="13" spans="1:11" ht="13.5" thickTop="1" x14ac:dyDescent="0.2">
      <c r="A13" s="2257" t="s">
        <v>388</v>
      </c>
      <c r="B13" s="2258"/>
      <c r="C13" s="2258"/>
      <c r="D13" s="2258"/>
      <c r="E13" s="2259"/>
      <c r="F13" s="786"/>
      <c r="G13" s="787"/>
      <c r="H13" s="788"/>
      <c r="I13" s="789"/>
      <c r="J13" s="789"/>
      <c r="K13" s="789"/>
    </row>
    <row r="14" spans="1:11" x14ac:dyDescent="0.2">
      <c r="A14" s="2240" t="s">
        <v>476</v>
      </c>
      <c r="B14" s="2240"/>
      <c r="C14" s="2240"/>
      <c r="D14" s="2240"/>
      <c r="E14" s="2241"/>
      <c r="F14" s="790" t="s">
        <v>909</v>
      </c>
      <c r="G14" s="783"/>
      <c r="H14" s="765"/>
      <c r="I14" s="772"/>
      <c r="J14" s="774"/>
      <c r="K14" s="766"/>
    </row>
    <row r="15" spans="1:11" x14ac:dyDescent="0.2">
      <c r="A15" s="2234" t="s">
        <v>4</v>
      </c>
      <c r="B15" s="2234"/>
      <c r="C15" s="2234"/>
      <c r="D15" s="2234"/>
      <c r="E15" s="2235"/>
      <c r="F15" s="790" t="s">
        <v>910</v>
      </c>
      <c r="G15" s="772"/>
      <c r="H15" s="765"/>
      <c r="I15" s="765"/>
      <c r="J15" s="766"/>
      <c r="K15" s="766"/>
    </row>
    <row r="16" spans="1:11" x14ac:dyDescent="0.2">
      <c r="A16" s="2234" t="s">
        <v>316</v>
      </c>
      <c r="B16" s="2234"/>
      <c r="C16" s="2234"/>
      <c r="D16" s="2234"/>
      <c r="E16" s="2235"/>
      <c r="F16" s="790" t="s">
        <v>980</v>
      </c>
      <c r="G16" s="773"/>
      <c r="H16" s="768"/>
      <c r="I16" s="768"/>
      <c r="J16" s="770"/>
      <c r="K16" s="770"/>
    </row>
    <row r="17" spans="1:11" x14ac:dyDescent="0.2">
      <c r="A17" s="2265" t="s">
        <v>992</v>
      </c>
      <c r="B17" s="2265"/>
      <c r="C17" s="2265"/>
      <c r="D17" s="2265"/>
      <c r="E17" s="2266"/>
      <c r="F17" s="791"/>
      <c r="G17" s="792"/>
      <c r="H17" s="793"/>
      <c r="I17" s="793"/>
      <c r="J17" s="794"/>
      <c r="K17" s="795"/>
    </row>
    <row r="18" spans="1:11" x14ac:dyDescent="0.2">
      <c r="A18" s="2244" t="s">
        <v>386</v>
      </c>
      <c r="B18" s="2245"/>
      <c r="C18" s="2245"/>
      <c r="D18" s="2245"/>
      <c r="E18" s="2246"/>
      <c r="F18" s="790" t="s">
        <v>989</v>
      </c>
      <c r="G18" s="783"/>
      <c r="H18" s="783"/>
      <c r="I18" s="783"/>
      <c r="J18" s="766"/>
      <c r="K18" s="796"/>
    </row>
    <row r="19" spans="1:11" ht="21.75" customHeight="1" x14ac:dyDescent="0.2">
      <c r="A19" s="2242" t="s">
        <v>1916</v>
      </c>
      <c r="B19" s="2242"/>
      <c r="C19" s="2242"/>
      <c r="D19" s="2242"/>
      <c r="E19" s="2243"/>
      <c r="F19" s="790" t="s">
        <v>990</v>
      </c>
      <c r="G19" s="783"/>
      <c r="H19" s="783"/>
      <c r="I19" s="783"/>
      <c r="J19" s="766"/>
      <c r="K19" s="796"/>
    </row>
    <row r="20" spans="1:11" x14ac:dyDescent="0.2">
      <c r="A20" s="2244" t="s">
        <v>1921</v>
      </c>
      <c r="B20" s="2245"/>
      <c r="C20" s="2245"/>
      <c r="D20" s="2245"/>
      <c r="E20" s="2246"/>
      <c r="F20" s="790" t="s">
        <v>991</v>
      </c>
      <c r="G20" s="783"/>
      <c r="H20" s="783"/>
      <c r="I20" s="783"/>
      <c r="J20" s="766"/>
      <c r="K20" s="796"/>
    </row>
    <row r="21" spans="1:11" ht="13.5" thickBot="1" x14ac:dyDescent="0.25">
      <c r="A21" s="2263" t="s">
        <v>659</v>
      </c>
      <c r="B21" s="2263"/>
      <c r="C21" s="2263"/>
      <c r="D21" s="2263"/>
      <c r="E21" s="2263"/>
      <c r="F21" s="1781"/>
      <c r="G21" s="793"/>
      <c r="H21" s="797"/>
      <c r="I21" s="797"/>
      <c r="J21" s="1782">
        <f>SUM(J18:J20)</f>
        <v>0</v>
      </c>
      <c r="K21" s="794"/>
    </row>
    <row r="22" spans="1:11" ht="13.5" thickTop="1" x14ac:dyDescent="0.2">
      <c r="A22" s="2234" t="s">
        <v>1922</v>
      </c>
      <c r="B22" s="2234"/>
      <c r="C22" s="2234"/>
      <c r="D22" s="2234"/>
      <c r="E22" s="2235"/>
      <c r="F22" s="790" t="s">
        <v>917</v>
      </c>
      <c r="G22" s="783"/>
      <c r="H22" s="765"/>
      <c r="I22" s="765"/>
      <c r="J22" s="798"/>
      <c r="K22" s="766"/>
    </row>
    <row r="23" spans="1:11" ht="13.5" thickBot="1" x14ac:dyDescent="0.25">
      <c r="A23" s="2264" t="s">
        <v>962</v>
      </c>
      <c r="B23" s="2263"/>
      <c r="C23" s="2263"/>
      <c r="D23" s="2263"/>
      <c r="E23" s="2263"/>
      <c r="F23" s="1783"/>
      <c r="G23" s="1780">
        <f>SUM(G14:G16,G21,G22)</f>
        <v>0</v>
      </c>
      <c r="H23" s="1780">
        <f>SUM(H14:H16,H21,H22)</f>
        <v>0</v>
      </c>
      <c r="I23" s="1780">
        <f>SUM(I14:I16,I21,I22)</f>
        <v>0</v>
      </c>
      <c r="J23" s="1780">
        <f>SUM(J14:J16,J21,J22)</f>
        <v>0</v>
      </c>
      <c r="K23" s="1780">
        <f>SUM(K14:K16,K21,K22)</f>
        <v>0</v>
      </c>
    </row>
    <row r="24" spans="1:11" ht="14.25" thickTop="1" thickBot="1" x14ac:dyDescent="0.25">
      <c r="A24" s="2264" t="s">
        <v>2024</v>
      </c>
      <c r="B24" s="2263"/>
      <c r="C24" s="2263"/>
      <c r="D24" s="2263"/>
      <c r="E24" s="2263"/>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7"/>
      <c r="I31" s="2238"/>
      <c r="J31" s="2238"/>
      <c r="K31" s="2238"/>
    </row>
    <row r="32" spans="1:11" x14ac:dyDescent="0.2">
      <c r="A32" s="810"/>
      <c r="B32" s="237"/>
      <c r="C32" s="237"/>
      <c r="D32" s="237"/>
      <c r="E32" s="806"/>
      <c r="F32" s="812" t="s">
        <v>561</v>
      </c>
      <c r="G32" s="765"/>
      <c r="H32" s="2239"/>
      <c r="I32" s="2238"/>
      <c r="J32" s="2238"/>
      <c r="K32" s="2238"/>
    </row>
    <row r="33" spans="1:11" ht="1.5" customHeight="1" x14ac:dyDescent="0.2">
      <c r="A33" s="813" t="s">
        <v>1231</v>
      </c>
      <c r="B33" s="364"/>
      <c r="C33" s="364"/>
      <c r="D33" s="364"/>
      <c r="E33" s="364"/>
      <c r="F33" s="364"/>
      <c r="G33" s="814"/>
      <c r="H33" s="2239"/>
      <c r="I33" s="2238"/>
      <c r="J33" s="2238"/>
      <c r="K33" s="2238"/>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4" t="s">
        <v>562</v>
      </c>
      <c r="B41" s="2247"/>
      <c r="C41" s="2247"/>
      <c r="D41" s="2247"/>
      <c r="E41" s="2247"/>
      <c r="F41" s="2248"/>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G57" sqref="G57"/>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2033</v>
      </c>
      <c r="B1" s="2270"/>
      <c r="C1" s="2271"/>
      <c r="D1" s="827"/>
      <c r="E1" s="828"/>
      <c r="F1" s="828"/>
      <c r="G1" s="829"/>
      <c r="H1" s="830"/>
      <c r="I1" s="831"/>
      <c r="J1" s="2267"/>
      <c r="K1" s="2268"/>
      <c r="L1" s="2268"/>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c r="D5" s="842"/>
      <c r="E5" s="842"/>
      <c r="F5" s="1782">
        <f>(C5+D5)-E5</f>
        <v>0</v>
      </c>
      <c r="G5" s="838"/>
      <c r="H5" s="843"/>
      <c r="I5" s="843"/>
      <c r="J5" s="843"/>
      <c r="K5" s="794"/>
      <c r="L5" s="1791">
        <f>F5-K5</f>
        <v>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c r="D8" s="845"/>
      <c r="E8" s="845"/>
      <c r="F8" s="1782">
        <f>(C8+D8)-E8</f>
        <v>0</v>
      </c>
      <c r="G8" s="844">
        <v>50</v>
      </c>
      <c r="H8" s="766"/>
      <c r="I8" s="766"/>
      <c r="J8" s="766"/>
      <c r="K8" s="1791">
        <f>(H8+I8)-J8</f>
        <v>0</v>
      </c>
      <c r="L8" s="1791">
        <f>F8-K8</f>
        <v>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c r="D10" s="847"/>
      <c r="E10" s="847"/>
      <c r="F10" s="1786">
        <f>(C10+D10)-E10</f>
        <v>0</v>
      </c>
      <c r="G10" s="844">
        <v>20</v>
      </c>
      <c r="H10" s="848"/>
      <c r="I10" s="848"/>
      <c r="J10" s="848"/>
      <c r="K10" s="1791">
        <f>(H10+I10)-J10</f>
        <v>0</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1621363</v>
      </c>
      <c r="D12" s="845">
        <v>91409</v>
      </c>
      <c r="E12" s="845">
        <v>80937</v>
      </c>
      <c r="F12" s="1782">
        <f>(C12+D12)-E12</f>
        <v>1631835</v>
      </c>
      <c r="G12" s="844">
        <v>10</v>
      </c>
      <c r="H12" s="766">
        <v>1161021</v>
      </c>
      <c r="I12" s="766">
        <v>122886</v>
      </c>
      <c r="J12" s="766">
        <v>80937</v>
      </c>
      <c r="K12" s="1791">
        <f>(H12+I12)-J12</f>
        <v>1202970</v>
      </c>
      <c r="L12" s="1791">
        <f>F12-K12</f>
        <v>428865</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1621363</v>
      </c>
      <c r="D16" s="1782">
        <f>SUM(D3,D5:D6,D8:D10,D12:D15)</f>
        <v>91409</v>
      </c>
      <c r="E16" s="1782">
        <f>SUM(E3,E5:E6,E8:E10,E12:E15)</f>
        <v>80937</v>
      </c>
      <c r="F16" s="1782">
        <f>SUM(F3,F5:F6,F8:F10,F12:F15)</f>
        <v>1631835</v>
      </c>
      <c r="G16" s="844"/>
      <c r="H16" s="1782">
        <f>SUM(H3,H6,H8:H10,H12:H14,)</f>
        <v>1161021</v>
      </c>
      <c r="I16" s="1782">
        <f>SUM(I3,I6,I8:I10,I12:I14,)</f>
        <v>122886</v>
      </c>
      <c r="J16" s="1782">
        <f>SUM(J3,J6,J8:J10,J12:J14,)</f>
        <v>80937</v>
      </c>
      <c r="K16" s="1782">
        <f>(H16+I16)-J16</f>
        <v>1202970</v>
      </c>
      <c r="L16" s="1782">
        <f>F16-K16</f>
        <v>428865</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122886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15" activePane="bottomLeft" state="frozen"/>
      <selection activeCell="G57" sqref="G57"/>
      <selection pane="bottomLeft" activeCell="G57" sqref="G5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5" t="s">
        <v>1699</v>
      </c>
      <c r="B1" s="2276"/>
      <c r="C1" s="2276"/>
      <c r="D1" s="2276"/>
      <c r="E1" s="2276"/>
      <c r="F1" s="2277"/>
      <c r="G1" s="856"/>
    </row>
    <row r="2" spans="1:7" ht="15" customHeight="1" thickBot="1" x14ac:dyDescent="0.25">
      <c r="A2" s="2278" t="s">
        <v>498</v>
      </c>
      <c r="B2" s="2279"/>
      <c r="C2" s="2279"/>
      <c r="D2" s="2279"/>
      <c r="E2" s="2279"/>
      <c r="F2" s="228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1019238</v>
      </c>
      <c r="G8" s="866"/>
    </row>
    <row r="9" spans="1:7" x14ac:dyDescent="0.2">
      <c r="A9" s="870" t="s">
        <v>480</v>
      </c>
      <c r="B9" s="871" t="s">
        <v>1988</v>
      </c>
      <c r="C9" s="872"/>
      <c r="D9" s="870" t="s">
        <v>522</v>
      </c>
      <c r="E9" s="869"/>
      <c r="F9" s="1935">
        <f>'Expenditures 15-22'!K151</f>
        <v>0</v>
      </c>
      <c r="G9" s="873"/>
    </row>
    <row r="10" spans="1:7" x14ac:dyDescent="0.2">
      <c r="A10" s="870" t="s">
        <v>520</v>
      </c>
      <c r="B10" s="871" t="s">
        <v>1989</v>
      </c>
      <c r="C10" s="872"/>
      <c r="D10" s="870" t="s">
        <v>522</v>
      </c>
      <c r="E10" s="869"/>
      <c r="F10" s="1935">
        <f>'Expenditures 15-22'!K174</f>
        <v>0</v>
      </c>
      <c r="G10" s="873"/>
    </row>
    <row r="11" spans="1:7" x14ac:dyDescent="0.2">
      <c r="A11" s="870" t="s">
        <v>481</v>
      </c>
      <c r="B11" s="871" t="s">
        <v>1990</v>
      </c>
      <c r="C11" s="872"/>
      <c r="D11" s="870" t="s">
        <v>522</v>
      </c>
      <c r="E11" s="869"/>
      <c r="F11" s="1935">
        <f>'Expenditures 15-22'!K210</f>
        <v>0</v>
      </c>
      <c r="G11" s="873"/>
    </row>
    <row r="12" spans="1:7" x14ac:dyDescent="0.2">
      <c r="A12" s="870" t="s">
        <v>482</v>
      </c>
      <c r="B12" s="871" t="s">
        <v>1991</v>
      </c>
      <c r="C12" s="872"/>
      <c r="D12" s="870" t="s">
        <v>522</v>
      </c>
      <c r="E12" s="869"/>
      <c r="F12" s="1935">
        <f>'Expenditures 15-22'!K295</f>
        <v>0</v>
      </c>
      <c r="G12" s="873"/>
    </row>
    <row r="13" spans="1:7" x14ac:dyDescent="0.2">
      <c r="A13" s="870" t="s">
        <v>108</v>
      </c>
      <c r="B13" s="871" t="s">
        <v>1992</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1019238</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275</v>
      </c>
      <c r="G52" s="866"/>
    </row>
    <row r="53" spans="1:7" x14ac:dyDescent="0.2">
      <c r="A53" s="870" t="s">
        <v>479</v>
      </c>
      <c r="B53" s="870" t="s">
        <v>1551</v>
      </c>
      <c r="C53" s="890">
        <f>'Expenditures 15-22'!B102</f>
        <v>4000</v>
      </c>
      <c r="D53" s="889" t="str">
        <f>'Expenditures 15-22'!A102</f>
        <v>Total Payments to Other Govt Units</v>
      </c>
      <c r="E53" s="869"/>
      <c r="F53" s="1939">
        <f>'Expenditures 15-22'!K102</f>
        <v>759347</v>
      </c>
      <c r="G53" s="866"/>
    </row>
    <row r="54" spans="1:7" x14ac:dyDescent="0.2">
      <c r="A54" s="870" t="s">
        <v>479</v>
      </c>
      <c r="B54" s="870" t="s">
        <v>1552</v>
      </c>
      <c r="C54" s="890" t="s">
        <v>1039</v>
      </c>
      <c r="D54" s="886" t="s">
        <v>1157</v>
      </c>
      <c r="E54" s="869"/>
      <c r="F54" s="1939">
        <f>'Expenditures 15-22'!G114</f>
        <v>91410</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0</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851032</v>
      </c>
      <c r="G76" s="866"/>
    </row>
    <row r="77" spans="1:8" s="894" customFormat="1" ht="12" customHeight="1" thickTop="1" thickBot="1" x14ac:dyDescent="0.25">
      <c r="A77" s="1801"/>
      <c r="B77" s="1798"/>
      <c r="C77" s="1794"/>
      <c r="D77" s="1799" t="s">
        <v>2011</v>
      </c>
      <c r="E77" s="1796"/>
      <c r="F77" s="1802">
        <f>(F14-F76)</f>
        <v>168206</v>
      </c>
      <c r="G77" s="870"/>
    </row>
    <row r="78" spans="1:8" s="894" customFormat="1" ht="12" customHeight="1" thickTop="1" x14ac:dyDescent="0.2">
      <c r="A78" s="1803"/>
      <c r="B78" s="1798"/>
      <c r="C78" s="1794"/>
      <c r="D78" s="1799" t="s">
        <v>2057</v>
      </c>
      <c r="E78" s="1796"/>
      <c r="F78" s="899">
        <v>0</v>
      </c>
      <c r="G78" s="900"/>
      <c r="H78" s="870"/>
    </row>
    <row r="79" spans="1:8" s="894" customFormat="1" ht="12" customHeight="1" thickBot="1" x14ac:dyDescent="0.25">
      <c r="A79" s="1804"/>
      <c r="B79" s="1798"/>
      <c r="C79" s="1794"/>
      <c r="D79" s="1799" t="s">
        <v>2012</v>
      </c>
      <c r="E79" s="1796" t="s">
        <v>1015</v>
      </c>
      <c r="F79" s="1805"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2" t="s">
        <v>1167</v>
      </c>
      <c r="B81" s="2273"/>
      <c r="C81" s="2273"/>
      <c r="D81" s="2273"/>
      <c r="E81" s="2273"/>
      <c r="F81" s="227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0</v>
      </c>
      <c r="G94" s="913"/>
    </row>
    <row r="95" spans="1:7" x14ac:dyDescent="0.2">
      <c r="A95" s="909" t="s">
        <v>142</v>
      </c>
      <c r="B95" s="909" t="s">
        <v>177</v>
      </c>
      <c r="C95" s="911">
        <v>1700</v>
      </c>
      <c r="D95" s="919" t="str">
        <f>'Revenues 9-14'!A82</f>
        <v>Total District/School Activity Income</v>
      </c>
      <c r="E95" s="907"/>
      <c r="F95" s="1811">
        <f>SUM('Revenues 9-14'!C82,'Revenues 9-14'!D82)</f>
        <v>0</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16710</v>
      </c>
      <c r="G104" s="913"/>
    </row>
    <row r="105" spans="1:7" x14ac:dyDescent="0.2">
      <c r="A105" s="909" t="s">
        <v>524</v>
      </c>
      <c r="B105" s="909" t="s">
        <v>842</v>
      </c>
      <c r="C105" s="914">
        <v>3100</v>
      </c>
      <c r="D105" s="920" t="str">
        <f>'Revenues 9-14'!A131</f>
        <v>Total Special Education</v>
      </c>
      <c r="E105" s="907"/>
      <c r="F105" s="1811">
        <f>SUM('Revenues 9-14'!C131:D131,'Revenues 9-14'!F131)</f>
        <v>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240585</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0</v>
      </c>
      <c r="G129" s="931"/>
    </row>
    <row r="130" spans="1:7" x14ac:dyDescent="0.2">
      <c r="A130" s="928" t="s">
        <v>689</v>
      </c>
      <c r="B130" s="928" t="s">
        <v>804</v>
      </c>
      <c r="C130" s="933">
        <v>4300</v>
      </c>
      <c r="D130" s="934" t="str">
        <f>'Revenues 9-14'!A211</f>
        <v>Total Title I</v>
      </c>
      <c r="E130" s="907"/>
      <c r="F130" s="1811">
        <f>SUM('Revenues 9-14'!C211,'Revenues 9-14'!D211,'Revenues 9-14'!F211,'Revenues 9-14'!G211)</f>
        <v>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55876</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313171</v>
      </c>
    </row>
    <row r="179" spans="1:7" ht="12" customHeight="1" x14ac:dyDescent="0.2">
      <c r="A179" s="1792"/>
      <c r="B179" s="1806"/>
      <c r="C179" s="1807"/>
      <c r="D179" s="1808" t="s">
        <v>2014</v>
      </c>
      <c r="E179" s="1809"/>
      <c r="F179" s="1811">
        <f>'PCTC-OEPP 27-28'!F77-F178</f>
        <v>-144965</v>
      </c>
    </row>
    <row r="180" spans="1:7" ht="12" customHeight="1" x14ac:dyDescent="0.2">
      <c r="A180" s="1792"/>
      <c r="B180" s="1806"/>
      <c r="C180" s="1807"/>
      <c r="D180" s="1808" t="s">
        <v>1924</v>
      </c>
      <c r="E180" s="1809"/>
      <c r="F180" s="1811">
        <f>'Cap Outlay Deprec 26'!I18</f>
        <v>122886</v>
      </c>
    </row>
    <row r="181" spans="1:7" ht="12" customHeight="1" x14ac:dyDescent="0.2">
      <c r="A181" s="1792"/>
      <c r="B181" s="1806"/>
      <c r="C181" s="1807"/>
      <c r="D181" s="1808" t="s">
        <v>2015</v>
      </c>
      <c r="E181" s="1809"/>
      <c r="F181" s="1811">
        <f>F179+F180</f>
        <v>-22079</v>
      </c>
    </row>
    <row r="182" spans="1:7" ht="12" customHeight="1" x14ac:dyDescent="0.2">
      <c r="A182" s="1792"/>
      <c r="B182" s="1812"/>
      <c r="C182" s="1807"/>
      <c r="D182" s="1808" t="str">
        <f>D78</f>
        <v>9 Month ADA from District Average Daily Attendance/Prior General State Aid Inquiry 2017-2018</v>
      </c>
      <c r="E182" s="1809"/>
      <c r="F182" s="1813">
        <f>'PCTC-OEPP 27-28'!F78</f>
        <v>0</v>
      </c>
      <c r="G182" s="931"/>
    </row>
    <row r="183" spans="1:7" ht="12" customHeight="1" thickBot="1" x14ac:dyDescent="0.25">
      <c r="A183" s="1792"/>
      <c r="B183" s="1812"/>
      <c r="C183" s="1807"/>
      <c r="D183" s="1808" t="s">
        <v>2016</v>
      </c>
      <c r="E183" s="1809" t="s">
        <v>1626</v>
      </c>
      <c r="F183" s="1814" t="e">
        <f>F181/F182</f>
        <v>#DIV/0!</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G57" sqref="G57"/>
      <selection pane="bottomLeft" activeCell="G57" sqref="G5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6" t="s">
        <v>1925</v>
      </c>
      <c r="B4" s="2287"/>
      <c r="C4" s="2287"/>
      <c r="D4" s="2287"/>
      <c r="E4" s="2287"/>
      <c r="F4" s="2287"/>
      <c r="G4" s="2288"/>
    </row>
    <row r="5" spans="1:7" x14ac:dyDescent="0.25">
      <c r="A5" s="2289"/>
      <c r="B5" s="2290"/>
      <c r="C5" s="2290"/>
      <c r="D5" s="2290"/>
      <c r="E5" s="2290"/>
      <c r="F5" s="2290"/>
      <c r="G5" s="2291"/>
    </row>
    <row r="6" spans="1:7" ht="18.75" x14ac:dyDescent="0.25">
      <c r="A6" s="1556" t="s">
        <v>1926</v>
      </c>
      <c r="B6" s="1557"/>
      <c r="C6" s="1557"/>
      <c r="D6" s="1557"/>
      <c r="E6" s="1557"/>
      <c r="F6" s="1557"/>
      <c r="G6" s="1558"/>
    </row>
    <row r="7" spans="1:7" ht="30.75" customHeight="1" x14ac:dyDescent="0.25">
      <c r="A7" s="2292" t="s">
        <v>2073</v>
      </c>
      <c r="B7" s="2293"/>
      <c r="C7" s="2293"/>
      <c r="D7" s="2293"/>
      <c r="E7" s="2293"/>
      <c r="F7" s="2293"/>
      <c r="G7" s="2294"/>
    </row>
    <row r="8" spans="1:7" ht="15.75" customHeight="1" x14ac:dyDescent="0.25">
      <c r="A8" s="2295" t="s">
        <v>2022</v>
      </c>
      <c r="B8" s="2296"/>
      <c r="C8" s="2296"/>
      <c r="D8" s="2296"/>
      <c r="E8" s="2296"/>
      <c r="F8" s="2296"/>
      <c r="G8" s="2297"/>
    </row>
    <row r="9" spans="1:7" ht="35.25" customHeight="1" x14ac:dyDescent="0.25">
      <c r="A9" s="2292" t="s">
        <v>2076</v>
      </c>
      <c r="B9" s="2293"/>
      <c r="C9" s="2293"/>
      <c r="D9" s="2293"/>
      <c r="E9" s="2293"/>
      <c r="F9" s="2293"/>
      <c r="G9" s="2294"/>
    </row>
    <row r="10" spans="1:7" ht="15" customHeight="1" x14ac:dyDescent="0.25">
      <c r="A10" s="1559" t="s">
        <v>1927</v>
      </c>
      <c r="B10" s="1560"/>
      <c r="C10" s="1560"/>
      <c r="D10" s="1560"/>
      <c r="E10" s="1560"/>
      <c r="F10" s="1560"/>
      <c r="G10" s="1561"/>
    </row>
    <row r="11" spans="1:7" ht="17.25" customHeight="1" x14ac:dyDescent="0.25">
      <c r="A11" s="2292" t="s">
        <v>2075</v>
      </c>
      <c r="B11" s="2293"/>
      <c r="C11" s="2293"/>
      <c r="D11" s="2293"/>
      <c r="E11" s="2293"/>
      <c r="F11" s="2293"/>
      <c r="G11" s="2294"/>
    </row>
    <row r="12" spans="1:7" ht="15" customHeight="1" x14ac:dyDescent="0.25">
      <c r="A12" s="1559" t="s">
        <v>1932</v>
      </c>
      <c r="B12" s="1560"/>
      <c r="C12" s="1560"/>
      <c r="D12" s="1560"/>
      <c r="E12" s="1560"/>
      <c r="F12" s="1560"/>
      <c r="G12" s="1561"/>
    </row>
    <row r="13" spans="1:7" ht="32.25" customHeight="1" x14ac:dyDescent="0.25">
      <c r="A13" s="2283" t="s">
        <v>1933</v>
      </c>
      <c r="B13" s="2284"/>
      <c r="C13" s="2284"/>
      <c r="D13" s="2284"/>
      <c r="E13" s="2284"/>
      <c r="F13" s="2284"/>
      <c r="G13" s="2285"/>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2098</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G57" sqref="G5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8" t="s">
        <v>1778</v>
      </c>
      <c r="B5" s="2299"/>
      <c r="C5" s="2299"/>
      <c r="D5" s="2299"/>
      <c r="E5" s="2299"/>
      <c r="F5" s="2299"/>
      <c r="G5" s="230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c r="F10" s="975"/>
      <c r="G10" s="976"/>
      <c r="H10" s="162"/>
      <c r="I10" s="162"/>
    </row>
    <row r="11" spans="1:9" s="669" customFormat="1" ht="22.5" customHeight="1" x14ac:dyDescent="0.2">
      <c r="A11" s="2303" t="s">
        <v>1944</v>
      </c>
      <c r="B11" s="2304"/>
      <c r="C11" s="2304"/>
      <c r="D11" s="2305"/>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124692</v>
      </c>
      <c r="F19" s="1822"/>
      <c r="G19" s="1824">
        <f>'Expenditures 15-22'!K33-SUM('Expenditures 15-22'!G33,'Expenditures 15-22'!I33)+'Expenditures 15-22'!D229</f>
        <v>124692</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16456</v>
      </c>
      <c r="F21" s="1825"/>
      <c r="G21" s="1828">
        <f>'Expenditures 15-22'!K42-SUM('Expenditures 15-22'!G42,'Expenditures 15-22'!I42)+'Expenditures 15-22'!K120-SUM('Expenditures 15-22'!G120,'Expenditures 15-22'!I120)+'Expenditures 15-22'!K180-SUM('Expenditures 15-22'!G180,'Expenditures 15-22'!I180)+'Expenditures 15-22'!D238</f>
        <v>16456</v>
      </c>
      <c r="H21" s="988"/>
      <c r="I21" s="162"/>
    </row>
    <row r="22" spans="1:9" s="669" customFormat="1" ht="12" customHeight="1" x14ac:dyDescent="0.2">
      <c r="A22" s="995" t="s">
        <v>585</v>
      </c>
      <c r="B22" s="996"/>
      <c r="C22" s="994">
        <v>2200</v>
      </c>
      <c r="D22" s="1825"/>
      <c r="E22" s="1827">
        <f>'Expenditures 15-22'!K47-SUM('Expenditures 15-22'!G47,'Expenditures 15-22'!I47)+'Expenditures 15-22'!D243</f>
        <v>13613</v>
      </c>
      <c r="F22" s="1825"/>
      <c r="G22" s="1828">
        <f>'Expenditures 15-22'!K47-SUM('Expenditures 15-22'!G47,'Expenditures 15-22'!I47)+'Expenditures 15-22'!D243</f>
        <v>13613</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13009</v>
      </c>
      <c r="F23" s="1825"/>
      <c r="G23" s="1827">
        <f>'Expenditures 15-22'!K53-SUM('Expenditures 15-22'!G53,'Expenditures 15-22'!I53)+'Expenditures 15-22'!D257+'Expenditures 15-22'!K330-SUM('Expenditures 15-22'!G330,'Expenditures 15-22'!I330)</f>
        <v>13009</v>
      </c>
      <c r="H23" s="988"/>
      <c r="I23" s="162"/>
    </row>
    <row r="24" spans="1:9" s="669" customFormat="1" ht="12" customHeight="1" x14ac:dyDescent="0.2">
      <c r="A24" s="995" t="s">
        <v>587</v>
      </c>
      <c r="B24" s="996"/>
      <c r="C24" s="994">
        <v>2400</v>
      </c>
      <c r="D24" s="1825"/>
      <c r="E24" s="1827">
        <f>'Expenditures 15-22'!K57-SUM('Expenditures 15-22'!G57,'Expenditures 15-22'!I57)+'Expenditures 15-22'!D261</f>
        <v>0</v>
      </c>
      <c r="F24" s="1825"/>
      <c r="G24" s="1828">
        <f>'Expenditures 15-22'!K57-SUM('Expenditures 15-22'!G57,'Expenditures 15-22'!I57)+'Expenditures 15-22'!D261</f>
        <v>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436</v>
      </c>
      <c r="E27" s="1827">
        <f>E8</f>
        <v>0</v>
      </c>
      <c r="F27" s="1827">
        <f>'Expenditures 15-22'!K60-SUM('Expenditures 15-22'!G60,'Expenditures 15-22'!I60)+'Expenditures 15-22'!D264-E8</f>
        <v>436</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0</v>
      </c>
      <c r="F28" s="1829">
        <f>'Expenditures 15-22'!K61-SUM('Expenditures 15-22'!G61,'Expenditures 15-22'!I61)+'Expenditures 15-22'!K124-SUM('Expenditures 15-22'!G124,'Expenditures 15-22'!I124)+'Expenditures 15-22'!D266-E9</f>
        <v>0</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0</v>
      </c>
      <c r="F29" s="1825"/>
      <c r="G29" s="1828">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825"/>
      <c r="E30" s="1827">
        <f>'Expenditures 15-22'!K63-SUM('Expenditures 15-22'!G63,'Expenditures 15-22'!I63)+'Expenditures 15-22'!D268-E10</f>
        <v>0</v>
      </c>
      <c r="F30" s="1825"/>
      <c r="G30" s="1827">
        <f>'Expenditures 15-22'!K63-SUM('Expenditures 15-22'!G63,'Expenditures 15-22'!I63)+'Expenditures 15-22'!D268-E10</f>
        <v>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275</v>
      </c>
      <c r="F39" s="1825"/>
      <c r="G39" s="1827">
        <f>'Expenditures 15-22'!K75-SUM('Expenditures 15-22'!G75,'Expenditures 15-22'!I75)+'Expenditures 15-22'!K130-SUM('Expenditures 15-22'!G130,'Expenditures 15-22'!I130)+'Expenditures 15-22'!K185-SUM('Expenditures 15-22'!G185,'Expenditures 15-22'!I185)+'Expenditures 15-22'!D280</f>
        <v>275</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436</v>
      </c>
      <c r="E41" s="1829">
        <f>SUM(E19:E40)</f>
        <v>168045</v>
      </c>
      <c r="F41" s="1829">
        <f>SUM(F19:F39)</f>
        <v>436</v>
      </c>
      <c r="G41" s="1829">
        <f>SUM(G19:G40)</f>
        <v>168045</v>
      </c>
    </row>
    <row r="42" spans="1:7" x14ac:dyDescent="0.2">
      <c r="A42" s="988"/>
      <c r="B42" s="162"/>
      <c r="C42" s="1002"/>
      <c r="D42" s="2301" t="s">
        <v>543</v>
      </c>
      <c r="E42" s="2302"/>
      <c r="F42" s="1003" t="s">
        <v>544</v>
      </c>
      <c r="G42" s="1004"/>
    </row>
    <row r="43" spans="1:7" ht="12" customHeight="1" x14ac:dyDescent="0.2">
      <c r="A43" s="988"/>
      <c r="B43" s="162"/>
      <c r="C43" s="1002"/>
      <c r="D43" s="1830" t="s">
        <v>493</v>
      </c>
      <c r="E43" s="1831">
        <f>D41</f>
        <v>436</v>
      </c>
      <c r="F43" s="1830" t="s">
        <v>495</v>
      </c>
      <c r="G43" s="1831">
        <f>F41</f>
        <v>436</v>
      </c>
    </row>
    <row r="44" spans="1:7" ht="12" customHeight="1" x14ac:dyDescent="0.2">
      <c r="A44" s="988"/>
      <c r="B44" s="162"/>
      <c r="C44" s="1002"/>
      <c r="D44" s="1830" t="s">
        <v>494</v>
      </c>
      <c r="E44" s="1831">
        <f>E41</f>
        <v>168045</v>
      </c>
      <c r="F44" s="1830" t="s">
        <v>494</v>
      </c>
      <c r="G44" s="1831">
        <f>G41</f>
        <v>168045</v>
      </c>
    </row>
    <row r="45" spans="1:7" ht="12" customHeight="1" x14ac:dyDescent="0.2">
      <c r="A45" s="988"/>
      <c r="B45" s="162"/>
      <c r="C45" s="162"/>
      <c r="D45" s="1832" t="s">
        <v>1063</v>
      </c>
      <c r="E45" s="1833">
        <f>(E43/E44)</f>
        <v>2.5945431283287213E-3</v>
      </c>
      <c r="F45" s="1832" t="s">
        <v>1063</v>
      </c>
      <c r="G45" s="1833">
        <f>(G43/G44)</f>
        <v>2.5945431283287213E-3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G57" sqref="G57"/>
      <selection pane="bottomLeft" activeCell="D18" sqref="D18"/>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0" t="s">
        <v>1446</v>
      </c>
      <c r="B1" s="2320"/>
      <c r="C1" s="2320"/>
      <c r="D1" s="2320"/>
      <c r="E1" s="2320"/>
      <c r="F1" s="2320"/>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1" t="s">
        <v>1627</v>
      </c>
      <c r="B5" s="2322"/>
      <c r="C5" s="2323"/>
      <c r="D5" s="2323"/>
      <c r="E5" s="2323"/>
      <c r="F5" s="2323"/>
    </row>
    <row r="6" spans="1:10" ht="12" customHeight="1" x14ac:dyDescent="0.25">
      <c r="A6" s="1875"/>
      <c r="B6" s="1876"/>
      <c r="C6" s="2324" t="str">
        <f>COVER!A17</f>
        <v>Starved Rock Associates for Vocational and Technical Education</v>
      </c>
      <c r="D6" s="2324"/>
      <c r="E6" s="2324"/>
      <c r="F6" s="1877"/>
    </row>
    <row r="7" spans="1:10" ht="11.25" customHeight="1" thickBot="1" x14ac:dyDescent="0.3">
      <c r="A7" s="1875"/>
      <c r="B7" s="1876"/>
      <c r="C7" s="2325">
        <f>COVER!A13</f>
        <v>35050720045</v>
      </c>
      <c r="D7" s="2325"/>
      <c r="E7" s="2325"/>
      <c r="F7" s="1877"/>
    </row>
    <row r="8" spans="1:10" ht="25.5" customHeight="1" thickBot="1" x14ac:dyDescent="0.25">
      <c r="A8" s="1918" t="s">
        <v>2023</v>
      </c>
      <c r="B8" s="1878" t="s">
        <v>2077</v>
      </c>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t="s">
        <v>2099</v>
      </c>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c r="D26" s="1890"/>
      <c r="E26" s="1893"/>
      <c r="F26" s="1892"/>
      <c r="H26" s="1903">
        <f t="shared" si="0"/>
        <v>0</v>
      </c>
      <c r="I26" s="1903">
        <f t="shared" si="1"/>
        <v>0</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0</v>
      </c>
      <c r="I34" s="1903">
        <f>SUM(I11:I32)</f>
        <v>0</v>
      </c>
      <c r="J34" s="1903">
        <f>SUM(J11:J32)</f>
        <v>0</v>
      </c>
      <c r="K34" s="1903">
        <f>SUM(H34:J34)</f>
        <v>0</v>
      </c>
    </row>
    <row r="35" spans="1:11" ht="12" customHeight="1" x14ac:dyDescent="0.2">
      <c r="A35" s="1896" t="s">
        <v>1459</v>
      </c>
      <c r="B35" s="1897"/>
      <c r="C35" s="2326"/>
      <c r="D35" s="2326"/>
      <c r="E35" s="2326"/>
      <c r="F35" s="2327"/>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12"/>
      <c r="B38" s="2313"/>
      <c r="C38" s="2313"/>
      <c r="D38" s="2313"/>
      <c r="E38" s="2313"/>
      <c r="F38" s="2314"/>
    </row>
    <row r="39" spans="1:11" ht="4.5" hidden="1" customHeight="1" x14ac:dyDescent="0.2">
      <c r="A39" s="1898"/>
      <c r="B39" s="1898"/>
      <c r="C39" s="1898"/>
      <c r="D39" s="1898"/>
      <c r="E39" s="1898"/>
      <c r="F39" s="1898"/>
    </row>
    <row r="40" spans="1:11" s="1895" customFormat="1" ht="12" customHeight="1" x14ac:dyDescent="0.25">
      <c r="A40" s="1899" t="s">
        <v>1458</v>
      </c>
      <c r="B40" s="1900"/>
      <c r="C40" s="2315"/>
      <c r="D40" s="2315"/>
      <c r="E40" s="2315"/>
      <c r="F40" s="2316"/>
      <c r="H40" s="1904"/>
      <c r="I40" s="1904"/>
      <c r="J40" s="1904"/>
      <c r="K40" s="1904"/>
    </row>
    <row r="41" spans="1:11" s="1895" customFormat="1" ht="12" customHeight="1" x14ac:dyDescent="0.25">
      <c r="A41" s="2317"/>
      <c r="B41" s="2318"/>
      <c r="C41" s="2318"/>
      <c r="D41" s="2318"/>
      <c r="E41" s="2318"/>
      <c r="F41" s="2319"/>
      <c r="H41" s="1904"/>
      <c r="I41" s="1904"/>
      <c r="J41" s="1904"/>
      <c r="K41" s="1904"/>
    </row>
    <row r="42" spans="1:11" s="1895" customFormat="1" ht="12" customHeight="1" x14ac:dyDescent="0.25">
      <c r="A42" s="2317"/>
      <c r="B42" s="2318"/>
      <c r="C42" s="2318"/>
      <c r="D42" s="2318"/>
      <c r="E42" s="2318"/>
      <c r="F42" s="2319"/>
      <c r="H42" s="1904"/>
      <c r="I42" s="1904"/>
      <c r="J42" s="1904"/>
      <c r="K42" s="1904"/>
    </row>
    <row r="43" spans="1:11" s="1895" customFormat="1" ht="15" x14ac:dyDescent="0.25">
      <c r="A43" s="2306"/>
      <c r="B43" s="2307"/>
      <c r="C43" s="2307"/>
      <c r="D43" s="2307"/>
      <c r="E43" s="2307"/>
      <c r="F43" s="2308"/>
      <c r="H43" s="1904"/>
      <c r="I43" s="1904"/>
      <c r="J43" s="1904"/>
      <c r="K43" s="1904"/>
    </row>
    <row r="44" spans="1:11" s="1895" customFormat="1" ht="12" hidden="1" customHeight="1" x14ac:dyDescent="0.25">
      <c r="A44" s="2306"/>
      <c r="B44" s="2307"/>
      <c r="C44" s="2307"/>
      <c r="D44" s="2307"/>
      <c r="E44" s="2307"/>
      <c r="F44" s="2308"/>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G57" sqref="G5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3" t="str">
        <f>COVER!A17</f>
        <v>Starved Rock Associates for Vocational and Technical Education</v>
      </c>
      <c r="J6" s="2334"/>
      <c r="Q6" s="1686"/>
    </row>
    <row r="7" spans="1:17" x14ac:dyDescent="0.2">
      <c r="A7" s="2335" t="s">
        <v>924</v>
      </c>
      <c r="B7" s="2336"/>
      <c r="C7" s="2336"/>
      <c r="D7" s="2336"/>
      <c r="E7" s="2337"/>
      <c r="F7" s="1018"/>
      <c r="G7" s="1010"/>
      <c r="H7" s="1017" t="s">
        <v>390</v>
      </c>
      <c r="I7" s="2338">
        <f>COVER!A13</f>
        <v>35050720045</v>
      </c>
      <c r="J7" s="233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9" t="s">
        <v>502</v>
      </c>
      <c r="B11" s="2340"/>
      <c r="C11" s="234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0</v>
      </c>
      <c r="F12" s="1040"/>
      <c r="G12" s="1834">
        <f t="shared" ref="G12:G18" si="0">SUM(E12:F12)</f>
        <v>0</v>
      </c>
      <c r="H12" s="1041"/>
      <c r="I12" s="1040"/>
      <c r="J12" s="1834">
        <f t="shared" ref="J12:J18" si="1">SUM(H12:I12)</f>
        <v>0</v>
      </c>
    </row>
    <row r="13" spans="1:17" ht="15" customHeight="1" x14ac:dyDescent="0.2">
      <c r="A13" s="1036">
        <v>2</v>
      </c>
      <c r="B13" s="1037" t="s">
        <v>44</v>
      </c>
      <c r="C13" s="1038"/>
      <c r="D13" s="1039">
        <v>2330</v>
      </c>
      <c r="E13" s="1834">
        <f>'Expenditures 15-22'!K51</f>
        <v>13009</v>
      </c>
      <c r="F13" s="1040"/>
      <c r="G13" s="1834">
        <f t="shared" si="0"/>
        <v>13009</v>
      </c>
      <c r="H13" s="1041">
        <v>28147</v>
      </c>
      <c r="I13" s="1040"/>
      <c r="J13" s="1834">
        <f t="shared" si="1"/>
        <v>28147</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2" t="s">
        <v>7</v>
      </c>
      <c r="C18" s="2343"/>
      <c r="D18" s="2344"/>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13009</v>
      </c>
      <c r="F19" s="1836">
        <f t="shared" si="2"/>
        <v>0</v>
      </c>
      <c r="G19" s="1836">
        <f t="shared" si="2"/>
        <v>13009</v>
      </c>
      <c r="H19" s="1836">
        <f t="shared" si="2"/>
        <v>28147</v>
      </c>
      <c r="I19" s="1836">
        <f t="shared" si="2"/>
        <v>0</v>
      </c>
      <c r="J19" s="1836">
        <f t="shared" si="2"/>
        <v>28147</v>
      </c>
    </row>
    <row r="20" spans="1:10" ht="13.5" thickTop="1" x14ac:dyDescent="0.2">
      <c r="A20" s="1036">
        <v>9</v>
      </c>
      <c r="B20" s="2345" t="s">
        <v>1703</v>
      </c>
      <c r="C20" s="2345"/>
      <c r="D20" s="2346"/>
      <c r="E20" s="1047"/>
      <c r="F20" s="1047"/>
      <c r="G20" s="1047"/>
      <c r="H20" s="1047"/>
      <c r="I20" s="1047"/>
      <c r="J20" s="1837">
        <f>IF(AND(G19&gt;0,J19&gt;0),(((J19-G19)/G19)),"Enter Budget Data")</f>
        <v>1.1636559305096472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1"/>
      <c r="D26" s="2351"/>
      <c r="E26" s="1051"/>
      <c r="F26" s="2350"/>
      <c r="G26" s="2350"/>
    </row>
    <row r="27" spans="1:10" x14ac:dyDescent="0.2">
      <c r="B27" s="1048"/>
      <c r="C27" s="1052" t="s">
        <v>1093</v>
      </c>
      <c r="D27" s="1053"/>
      <c r="E27" s="1054"/>
      <c r="F27" s="2347" t="s">
        <v>1589</v>
      </c>
      <c r="G27" s="2347"/>
    </row>
    <row r="28" spans="1:10" ht="28.5" customHeight="1" x14ac:dyDescent="0.2">
      <c r="B28" s="1048"/>
      <c r="C28" s="2349"/>
      <c r="D28" s="2349"/>
      <c r="E28" s="1055"/>
      <c r="F28" s="2349"/>
      <c r="G28" s="2349"/>
    </row>
    <row r="29" spans="1:10" x14ac:dyDescent="0.2">
      <c r="B29" s="1048"/>
      <c r="C29" s="1056" t="s">
        <v>1642</v>
      </c>
      <c r="E29" s="1057"/>
      <c r="F29" s="2348" t="s">
        <v>1590</v>
      </c>
      <c r="G29" s="234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3"/>
    </row>
    <row r="36" spans="1:10" ht="13.5" customHeight="1" x14ac:dyDescent="0.2">
      <c r="B36" s="1062"/>
      <c r="C36" s="2332" t="s">
        <v>1943</v>
      </c>
      <c r="D36" s="2331"/>
      <c r="E36" s="2331"/>
      <c r="F36" s="2331"/>
      <c r="G36" s="2331"/>
      <c r="H36" s="2331"/>
      <c r="I36" s="2331"/>
      <c r="J36" s="1064"/>
    </row>
    <row r="37" spans="1:10" ht="22.5" customHeight="1" x14ac:dyDescent="0.2">
      <c r="C37" s="2331"/>
      <c r="D37" s="2331"/>
      <c r="E37" s="2331"/>
      <c r="F37" s="2331"/>
      <c r="G37" s="2331"/>
      <c r="H37" s="2331"/>
      <c r="I37" s="2331"/>
      <c r="J37" s="1064"/>
    </row>
    <row r="38" spans="1:10" ht="7.5" customHeight="1" x14ac:dyDescent="0.2">
      <c r="C38" s="1063"/>
      <c r="D38" s="1065"/>
      <c r="E38" s="1066"/>
      <c r="F38" s="1067"/>
      <c r="G38" s="1066"/>
    </row>
    <row r="39" spans="1:10" ht="13.5" customHeight="1" x14ac:dyDescent="0.2">
      <c r="B39" s="1062"/>
      <c r="C39" s="2328" t="s">
        <v>937</v>
      </c>
      <c r="D39" s="2329"/>
      <c r="E39" s="2329"/>
      <c r="F39" s="2329"/>
      <c r="G39" s="2329"/>
      <c r="H39" s="2329"/>
      <c r="I39" s="232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G57" sqref="G5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2094</v>
      </c>
    </row>
    <row r="6" spans="1:2" x14ac:dyDescent="0.2">
      <c r="A6" s="1069">
        <v>2</v>
      </c>
      <c r="B6" s="329" t="s">
        <v>2095</v>
      </c>
    </row>
    <row r="7" spans="1:2" x14ac:dyDescent="0.2">
      <c r="A7" s="1069">
        <v>3</v>
      </c>
      <c r="B7" s="329" t="s">
        <v>2096</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Starved Rock Associates for Vocational and Technical Education</v>
      </c>
    </row>
    <row r="65" spans="2:2" x14ac:dyDescent="0.2">
      <c r="B65" s="1071">
        <f>COVER!A13</f>
        <v>35050720045</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G57" sqref="G5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 sqref="B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2" t="s">
        <v>1784</v>
      </c>
      <c r="B18" s="235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G57" sqref="G5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5"/>
      <c r="H2" s="1075"/>
    </row>
    <row r="3" spans="1:8" ht="57" customHeight="1" x14ac:dyDescent="0.2">
      <c r="A3" s="2366" t="s">
        <v>1786</v>
      </c>
      <c r="B3" s="2367"/>
      <c r="C3" s="2367"/>
      <c r="D3" s="2367"/>
      <c r="E3" s="2367"/>
      <c r="F3" s="2368"/>
      <c r="G3" s="1075"/>
      <c r="H3" s="1075"/>
    </row>
    <row r="4" spans="1:8" ht="14.25" customHeight="1" x14ac:dyDescent="0.2">
      <c r="A4" s="2372" t="s">
        <v>2054</v>
      </c>
      <c r="B4" s="2373"/>
      <c r="C4" s="2373"/>
      <c r="D4" s="2373"/>
      <c r="E4" s="2373"/>
      <c r="F4" s="2374"/>
      <c r="G4" s="1075"/>
      <c r="H4" s="1075"/>
    </row>
    <row r="5" spans="1:8" ht="14.25" customHeight="1" x14ac:dyDescent="0.2">
      <c r="A5" s="2375" t="s">
        <v>2055</v>
      </c>
      <c r="B5" s="2376"/>
      <c r="C5" s="2376"/>
      <c r="D5" s="2376"/>
      <c r="E5" s="2376"/>
      <c r="F5" s="2377"/>
      <c r="G5" s="1075"/>
      <c r="H5" s="1075"/>
    </row>
    <row r="6" spans="1:8" s="1076" customFormat="1" ht="41.25" customHeight="1" x14ac:dyDescent="0.2">
      <c r="A6" s="2369" t="s">
        <v>1792</v>
      </c>
      <c r="B6" s="2370"/>
      <c r="C6" s="2370"/>
      <c r="D6" s="2370"/>
      <c r="E6" s="2370"/>
      <c r="F6" s="237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1163712</v>
      </c>
      <c r="C8" s="1838">
        <f>'Acct Summary 7-8'!D8</f>
        <v>0</v>
      </c>
      <c r="D8" s="1838">
        <f>'Acct Summary 7-8'!F8</f>
        <v>0</v>
      </c>
      <c r="E8" s="1838">
        <f>'Acct Summary 7-8'!I8</f>
        <v>0</v>
      </c>
      <c r="F8" s="1838">
        <f>SUM(B8:E8)</f>
        <v>1163712</v>
      </c>
    </row>
    <row r="9" spans="1:8" s="1080" customFormat="1" ht="14.25" customHeight="1" thickBot="1" x14ac:dyDescent="0.25">
      <c r="A9" s="1079" t="s">
        <v>1436</v>
      </c>
      <c r="B9" s="1839">
        <f>'Acct Summary 7-8'!C17</f>
        <v>1019238</v>
      </c>
      <c r="C9" s="1839">
        <f>'Acct Summary 7-8'!D17</f>
        <v>0</v>
      </c>
      <c r="D9" s="1839">
        <f>'Acct Summary 7-8'!F17</f>
        <v>0</v>
      </c>
      <c r="E9" s="1838"/>
      <c r="F9" s="1838">
        <f>SUM(B9:E9)</f>
        <v>1019238</v>
      </c>
    </row>
    <row r="10" spans="1:8" s="1080" customFormat="1" ht="14.25" thickTop="1" thickBot="1" x14ac:dyDescent="0.25">
      <c r="A10" s="1081" t="s">
        <v>1437</v>
      </c>
      <c r="B10" s="1840">
        <f>(B8-B9)</f>
        <v>144474</v>
      </c>
      <c r="C10" s="1840">
        <f>(C8-C9)</f>
        <v>0</v>
      </c>
      <c r="D10" s="1840">
        <f>(D8-D9)</f>
        <v>0</v>
      </c>
      <c r="E10" s="1839">
        <f>(E8-E9)</f>
        <v>0</v>
      </c>
      <c r="F10" s="1841">
        <f>SUM(F8-F9)</f>
        <v>144474</v>
      </c>
    </row>
    <row r="11" spans="1:8" s="1080" customFormat="1" ht="14.25" thickTop="1" thickBot="1" x14ac:dyDescent="0.25">
      <c r="A11" s="1082" t="s">
        <v>1785</v>
      </c>
      <c r="B11" s="1842">
        <f>'Acct Summary 7-8'!C81</f>
        <v>212150</v>
      </c>
      <c r="C11" s="1842">
        <f>'Acct Summary 7-8'!D81</f>
        <v>0</v>
      </c>
      <c r="D11" s="1842">
        <f>'Acct Summary 7-8'!F81</f>
        <v>0</v>
      </c>
      <c r="E11" s="1842">
        <f>'Acct Summary 7-8'!I81</f>
        <v>0</v>
      </c>
      <c r="F11" s="1843">
        <f>SUM(B11:E11)</f>
        <v>212150</v>
      </c>
    </row>
    <row r="12" spans="1:8" ht="16.5" customHeight="1" thickTop="1" x14ac:dyDescent="0.2">
      <c r="A12" s="1083"/>
      <c r="B12" s="1084"/>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5"/>
      <c r="B13" s="1086"/>
      <c r="C13" s="2357"/>
      <c r="D13" s="2358"/>
      <c r="E13" s="2358"/>
      <c r="F13" s="2359"/>
      <c r="H13" s="1075"/>
    </row>
    <row r="14" spans="1:8" ht="19.5" customHeight="1" x14ac:dyDescent="0.2">
      <c r="A14" s="1085"/>
      <c r="B14" s="1086"/>
      <c r="C14" s="2357"/>
      <c r="D14" s="2358"/>
      <c r="E14" s="2358"/>
      <c r="F14" s="2359"/>
      <c r="H14" s="1075"/>
    </row>
    <row r="15" spans="1:8" ht="17.25" customHeight="1" x14ac:dyDescent="0.2">
      <c r="A15" s="1085"/>
      <c r="B15" s="1086"/>
      <c r="C15" s="2360"/>
      <c r="D15" s="2361"/>
      <c r="E15" s="2361"/>
      <c r="F15" s="2362"/>
      <c r="H15" s="1075"/>
    </row>
    <row r="16" spans="1:8" s="310" customFormat="1" ht="51.75" hidden="1" customHeight="1" x14ac:dyDescent="0.2">
      <c r="A16" s="2356" t="s">
        <v>1787</v>
      </c>
      <c r="B16" s="2356"/>
      <c r="C16" s="2356"/>
      <c r="D16" s="2356"/>
      <c r="E16" s="2356"/>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D80" sqref="D80"/>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8" t="s">
        <v>686</v>
      </c>
      <c r="B3" s="2379"/>
      <c r="C3" s="2379"/>
      <c r="D3" s="2380"/>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9" t="s">
        <v>1584</v>
      </c>
      <c r="D7" s="2390"/>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1" t="s">
        <v>1065</v>
      </c>
      <c r="B15" s="2382"/>
      <c r="C15" s="2382"/>
      <c r="D15" s="2383"/>
    </row>
    <row r="16" spans="1:4" s="669" customFormat="1" ht="24" customHeight="1" x14ac:dyDescent="0.2">
      <c r="A16" s="2384" t="s">
        <v>684</v>
      </c>
      <c r="B16" s="2385"/>
      <c r="C16" s="2385"/>
      <c r="D16" s="2386"/>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3" t="s">
        <v>332</v>
      </c>
      <c r="D21" s="2394"/>
    </row>
    <row r="22" spans="1:10" ht="12.75" x14ac:dyDescent="0.2">
      <c r="A22" s="1140"/>
      <c r="B22" s="1141">
        <v>2</v>
      </c>
      <c r="C22" s="2391" t="s">
        <v>1605</v>
      </c>
      <c r="D22" s="2392"/>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5" t="s">
        <v>557</v>
      </c>
      <c r="D43" s="239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7" t="s">
        <v>817</v>
      </c>
      <c r="D56" s="238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7" t="s">
        <v>1797</v>
      </c>
      <c r="D70" s="238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35050720045</v>
      </c>
    </row>
    <row r="3" spans="1:2" x14ac:dyDescent="0.2">
      <c r="A3" t="s">
        <v>1013</v>
      </c>
      <c r="B3" s="138" t="str">
        <f>COVER!A15</f>
        <v>LaSalle</v>
      </c>
    </row>
    <row r="4" spans="1:2" x14ac:dyDescent="0.2">
      <c r="A4" t="s">
        <v>1064</v>
      </c>
      <c r="B4" s="138" t="str">
        <f>COVER!A17</f>
        <v>Starved Rock Associates for Vocational and Technical Education</v>
      </c>
    </row>
    <row r="5" spans="1:2" x14ac:dyDescent="0.2">
      <c r="A5" t="s">
        <v>728</v>
      </c>
      <c r="B5" s="138" t="str">
        <f>COVER!A38</f>
        <v>Dwayne Mentgen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f>IF(COVER!J30="x","Yes",IF(COVER!L30="x","No",0))</f>
        <v>0</v>
      </c>
    </row>
    <row r="14" spans="1:2" x14ac:dyDescent="0.2">
      <c r="A14" t="s">
        <v>497</v>
      </c>
      <c r="B14" s="138">
        <f>IF(COVER!J31="x","Yes",IF(COVER!L31="x","No",0))</f>
        <v>0</v>
      </c>
    </row>
    <row r="15" spans="1:2" x14ac:dyDescent="0.2">
      <c r="A15" t="s">
        <v>598</v>
      </c>
      <c r="B15" s="138" t="str">
        <f>COVER!T23</f>
        <v>065-028451</v>
      </c>
    </row>
    <row r="16" spans="1:2" x14ac:dyDescent="0.2">
      <c r="A16" t="s">
        <v>442</v>
      </c>
      <c r="B16" s="138" t="str">
        <f>COVER!T13</f>
        <v>Sikich LLP</v>
      </c>
    </row>
    <row r="17" spans="1:2" x14ac:dyDescent="0.2">
      <c r="A17" t="s">
        <v>939</v>
      </c>
      <c r="B17" s="138" t="str">
        <f>COVER!T15</f>
        <v>Brian LeFevre</v>
      </c>
    </row>
    <row r="18" spans="1:2" x14ac:dyDescent="0.2">
      <c r="A18" t="s">
        <v>1212</v>
      </c>
      <c r="B18" s="138" t="str">
        <f>COVER!T17</f>
        <v>1415 W. Diehl Rd, Suite 400</v>
      </c>
    </row>
    <row r="19" spans="1:2" x14ac:dyDescent="0.2">
      <c r="A19" t="s">
        <v>941</v>
      </c>
      <c r="B19" s="138" t="str">
        <f>COVER!T25</f>
        <v>brian.lefevre@sikich.com</v>
      </c>
    </row>
    <row r="20" spans="1:2" x14ac:dyDescent="0.2">
      <c r="A20" t="s">
        <v>942</v>
      </c>
      <c r="B20" s="138" t="str">
        <f>COVER!T19</f>
        <v>Naperville</v>
      </c>
    </row>
    <row r="21" spans="1:2" x14ac:dyDescent="0.2">
      <c r="A21" t="s">
        <v>500</v>
      </c>
      <c r="B21" s="138" t="str">
        <f>COVER!X19</f>
        <v>IL</v>
      </c>
    </row>
    <row r="22" spans="1:2" x14ac:dyDescent="0.2">
      <c r="A22" t="s">
        <v>943</v>
      </c>
      <c r="B22" s="138">
        <f>COVER!Z19</f>
        <v>60563</v>
      </c>
    </row>
    <row r="23" spans="1:2" x14ac:dyDescent="0.2">
      <c r="A23" t="s">
        <v>1214</v>
      </c>
      <c r="B23" s="138" t="str">
        <f>COVER!T21</f>
        <v>630-566-8505</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212150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212150</v>
      </c>
      <c r="D92" s="2" t="str">
        <f t="shared" si="0"/>
        <v>Error?</v>
      </c>
    </row>
    <row r="93" spans="1:4" x14ac:dyDescent="0.2">
      <c r="A93" s="5">
        <v>32</v>
      </c>
      <c r="B93" s="138">
        <f>'Assets-Liab 5-6'!C41</f>
        <v>212150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1631835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1631835</v>
      </c>
      <c r="C279" s="2" t="s">
        <v>594</v>
      </c>
      <c r="D279" s="2" t="str">
        <f t="shared" si="3"/>
        <v>Error?</v>
      </c>
    </row>
    <row r="280" spans="1:4" x14ac:dyDescent="0.2">
      <c r="A280" s="5">
        <v>219</v>
      </c>
      <c r="B280" s="138">
        <f>'Assets-Liab 5-6'!M40</f>
        <v>1631835</v>
      </c>
      <c r="D280" s="2" t="str">
        <f t="shared" si="3"/>
        <v>Error?</v>
      </c>
    </row>
    <row r="281" spans="1:4" x14ac:dyDescent="0.2">
      <c r="A281" s="5">
        <v>220</v>
      </c>
      <c r="B281" s="138">
        <f>'Assets-Liab 5-6'!M41</f>
        <v>1631835</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0</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4870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4870</v>
      </c>
      <c r="C785" s="2" t="s">
        <v>594</v>
      </c>
      <c r="D785" s="2" t="str">
        <f t="shared" si="11"/>
        <v>Error?</v>
      </c>
    </row>
    <row r="786" spans="1:4" x14ac:dyDescent="0.2">
      <c r="A786" s="5">
        <v>725</v>
      </c>
      <c r="B786" s="138">
        <f>'Expenditures 15-22'!D44</f>
        <v>2784</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2784</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999</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8653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8653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3746</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3746</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8000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8000</v>
      </c>
      <c r="C843" s="2" t="s">
        <v>594</v>
      </c>
      <c r="D843" s="2" t="str">
        <f t="shared" si="12"/>
        <v>Error?</v>
      </c>
    </row>
    <row r="844" spans="1:4" x14ac:dyDescent="0.2">
      <c r="A844" s="5">
        <v>783</v>
      </c>
      <c r="B844" s="138">
        <f>'Expenditures 15-22'!E44</f>
        <v>9360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9360</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11077</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436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436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28873</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40866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120946</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120946</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3586</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3586</v>
      </c>
      <c r="C901" s="2" t="s">
        <v>594</v>
      </c>
      <c r="D901" s="2" t="str">
        <f t="shared" si="13"/>
        <v>Error?</v>
      </c>
    </row>
    <row r="902" spans="1:4" x14ac:dyDescent="0.2">
      <c r="A902" s="5">
        <v>841</v>
      </c>
      <c r="B902" s="138">
        <f>'Expenditures 15-22'!F44</f>
        <v>1469</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1469</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375</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5430</v>
      </c>
      <c r="C929" s="2" t="s">
        <v>594</v>
      </c>
      <c r="D929" s="2" t="str">
        <f t="shared" si="13"/>
        <v>Error?</v>
      </c>
    </row>
    <row r="930" spans="1:4" x14ac:dyDescent="0.2">
      <c r="A930" s="5">
        <v>869</v>
      </c>
      <c r="B930" s="138">
        <f>'Expenditures 15-22'!F75</f>
        <v>125</v>
      </c>
      <c r="D930" s="2" t="str">
        <f t="shared" si="13"/>
        <v>Error?</v>
      </c>
    </row>
    <row r="931" spans="1:4" x14ac:dyDescent="0.2">
      <c r="A931" s="5">
        <v>870</v>
      </c>
      <c r="B931" s="138">
        <f>'Expenditures 15-22'!F114</f>
        <v>126501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91410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91410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91410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558</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558</v>
      </c>
      <c r="C1045" s="2" t="s">
        <v>594</v>
      </c>
      <c r="D1045" s="2" t="str">
        <f t="shared" si="15"/>
        <v>Error?</v>
      </c>
    </row>
    <row r="1046" spans="1:4" x14ac:dyDescent="0.2">
      <c r="A1046" s="5">
        <v>985</v>
      </c>
      <c r="B1046" s="138">
        <f>'Expenditures 15-22'!H75</f>
        <v>150</v>
      </c>
      <c r="D1046" s="2" t="str">
        <f t="shared" si="15"/>
        <v>Error?</v>
      </c>
    </row>
    <row r="1047" spans="1:4" x14ac:dyDescent="0.2">
      <c r="A1047" s="5">
        <v>986</v>
      </c>
      <c r="B1047" s="138">
        <f>'Expenditures 15-22'!H102</f>
        <v>751100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751808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216102</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216102</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16456</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16456</v>
      </c>
      <c r="C1115" s="2" t="s">
        <v>594</v>
      </c>
      <c r="D1115" s="2" t="str">
        <f t="shared" si="16"/>
        <v>Error?</v>
      </c>
    </row>
    <row r="1116" spans="1:4" x14ac:dyDescent="0.2">
      <c r="A1116" s="5">
        <v>1055</v>
      </c>
      <c r="B1116" s="138">
        <f>'Expenditures 15-22'!K44</f>
        <v>13613</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13613</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0</v>
      </c>
      <c r="C1121" s="2" t="s">
        <v>594</v>
      </c>
      <c r="D1121" s="2" t="str">
        <f t="shared" si="16"/>
        <v>Error?</v>
      </c>
    </row>
    <row r="1122" spans="1:4" x14ac:dyDescent="0.2">
      <c r="A1122" s="5">
        <v>1061</v>
      </c>
      <c r="B1122" s="138">
        <f>'Expenditures 15-22'!K53</f>
        <v>13009</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436</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436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43514</v>
      </c>
      <c r="C1143" s="2" t="s">
        <v>594</v>
      </c>
      <c r="D1143" s="2" t="str">
        <f t="shared" si="16"/>
        <v>Error?</v>
      </c>
    </row>
    <row r="1144" spans="1:4" x14ac:dyDescent="0.2">
      <c r="A1144" s="5">
        <v>1083</v>
      </c>
      <c r="B1144" s="138">
        <f>'Expenditures 15-22'!K75</f>
        <v>275</v>
      </c>
      <c r="C1144" s="2" t="s">
        <v>594</v>
      </c>
      <c r="D1144" s="2" t="str">
        <f t="shared" si="16"/>
        <v>Error?</v>
      </c>
    </row>
    <row r="1145" spans="1:4" x14ac:dyDescent="0.2">
      <c r="A1145" s="5">
        <v>1084</v>
      </c>
      <c r="B1145" s="138">
        <f>'Expenditures 15-22'!K102</f>
        <v>759347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1019238</v>
      </c>
      <c r="C1152" s="2" t="s">
        <v>594</v>
      </c>
      <c r="D1152" s="2" t="str">
        <f t="shared" si="17"/>
        <v>Error?</v>
      </c>
    </row>
    <row r="1153" spans="1:4" x14ac:dyDescent="0.2">
      <c r="A1153" s="5">
        <v>1092</v>
      </c>
      <c r="B1153" s="138">
        <f>'Expenditures 15-22'!K115</f>
        <v>144474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67676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212150</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1621363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1621363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91409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91409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80937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80937</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1631835</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1631835</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1161021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1161021</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122886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122886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80937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80937</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1202970</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1202970</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428865</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428865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751100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759347</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22439</v>
      </c>
      <c r="C2551" s="2" t="s">
        <v>594</v>
      </c>
      <c r="D2551" s="2" t="str">
        <f t="shared" si="38"/>
        <v>Error?</v>
      </c>
    </row>
    <row r="2552" spans="1:4" x14ac:dyDescent="0.2">
      <c r="A2552" s="10">
        <v>2491</v>
      </c>
      <c r="D2552" s="2" t="str">
        <f t="shared" si="38"/>
        <v>OK</v>
      </c>
    </row>
    <row r="2553" spans="1:4" x14ac:dyDescent="0.2">
      <c r="A2553" s="5">
        <v>2492</v>
      </c>
      <c r="B2553" s="138">
        <f>'Acct Summary 7-8'!C6</f>
        <v>240585</v>
      </c>
      <c r="C2553" s="2" t="s">
        <v>594</v>
      </c>
      <c r="D2553" s="2" t="str">
        <f t="shared" si="38"/>
        <v>Error?</v>
      </c>
    </row>
    <row r="2554" spans="1:4" x14ac:dyDescent="0.2">
      <c r="A2554" s="5">
        <v>2493</v>
      </c>
      <c r="B2554" s="138">
        <f>'Acct Summary 7-8'!C7</f>
        <v>55876</v>
      </c>
      <c r="C2554" s="2" t="s">
        <v>594</v>
      </c>
      <c r="D2554" s="2" t="str">
        <f t="shared" si="38"/>
        <v>Error?</v>
      </c>
    </row>
    <row r="2555" spans="1:4" x14ac:dyDescent="0.2">
      <c r="A2555" s="5">
        <v>2494</v>
      </c>
      <c r="B2555" s="138">
        <f>'Acct Summary 7-8'!C8</f>
        <v>1163712</v>
      </c>
      <c r="C2555" s="2" t="s">
        <v>594</v>
      </c>
      <c r="D2555" s="2" t="str">
        <f t="shared" si="38"/>
        <v>Error?</v>
      </c>
    </row>
    <row r="2556" spans="1:4" x14ac:dyDescent="0.2">
      <c r="A2556" s="5">
        <v>2495</v>
      </c>
      <c r="B2556" s="138">
        <f>'Acct Summary 7-8'!C12</f>
        <v>216102</v>
      </c>
      <c r="C2556" s="2" t="s">
        <v>594</v>
      </c>
      <c r="D2556" s="2" t="str">
        <f t="shared" si="38"/>
        <v>Error?</v>
      </c>
    </row>
    <row r="2557" spans="1:4" x14ac:dyDescent="0.2">
      <c r="A2557" s="5">
        <v>2496</v>
      </c>
      <c r="B2557" s="138">
        <f>'Acct Summary 7-8'!C13</f>
        <v>43514</v>
      </c>
      <c r="C2557" s="2" t="s">
        <v>594</v>
      </c>
      <c r="D2557" s="2" t="str">
        <f t="shared" si="38"/>
        <v>Error?</v>
      </c>
    </row>
    <row r="2558" spans="1:4" x14ac:dyDescent="0.2">
      <c r="A2558" s="5">
        <v>2497</v>
      </c>
      <c r="B2558" s="138">
        <f>'Acct Summary 7-8'!C14</f>
        <v>275</v>
      </c>
      <c r="C2558" s="2" t="s">
        <v>594</v>
      </c>
      <c r="D2558" s="2" t="str">
        <f t="shared" si="38"/>
        <v>Error?</v>
      </c>
    </row>
    <row r="2559" spans="1:4" x14ac:dyDescent="0.2">
      <c r="A2559" s="5">
        <v>2498</v>
      </c>
      <c r="B2559" s="138">
        <f>'Acct Summary 7-8'!C15</f>
        <v>759347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1019238</v>
      </c>
      <c r="C2561" s="2" t="s">
        <v>594</v>
      </c>
      <c r="D2561" s="2" t="str">
        <f t="shared" si="39"/>
        <v>Error?</v>
      </c>
    </row>
    <row r="2562" spans="1:4" x14ac:dyDescent="0.2">
      <c r="A2562" s="5">
        <v>2501</v>
      </c>
      <c r="B2562" s="138">
        <f>'Acct Summary 7-8'!C20</f>
        <v>144474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999</v>
      </c>
      <c r="D2719" s="2" t="str">
        <f t="shared" si="41"/>
        <v>Error?</v>
      </c>
    </row>
    <row r="2720" spans="1:4" x14ac:dyDescent="0.2">
      <c r="A2720" s="5">
        <v>2659</v>
      </c>
      <c r="B2720" s="138">
        <f>'Expenditures 15-22'!E51</f>
        <v>11077</v>
      </c>
      <c r="D2720" s="2" t="str">
        <f t="shared" si="41"/>
        <v>Error?</v>
      </c>
    </row>
    <row r="2721" spans="1:4" x14ac:dyDescent="0.2">
      <c r="A2721" s="5">
        <v>2660</v>
      </c>
      <c r="B2721" s="138">
        <f>'Expenditures 15-22'!F51</f>
        <v>375</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558</v>
      </c>
      <c r="D2723" s="2" t="str">
        <f t="shared" si="41"/>
        <v>Error?</v>
      </c>
    </row>
    <row r="2724" spans="1:4" x14ac:dyDescent="0.2">
      <c r="A2724" s="5">
        <v>2663</v>
      </c>
      <c r="B2724" s="138">
        <f>'Expenditures 15-22'!K51</f>
        <v>13009</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8247</v>
      </c>
      <c r="C2789" s="2" t="s">
        <v>594</v>
      </c>
      <c r="D2789" s="2" t="str">
        <f t="shared" si="42"/>
        <v>Error?</v>
      </c>
    </row>
    <row r="2790" spans="1:4" x14ac:dyDescent="0.2">
      <c r="A2790" s="5">
        <v>2729</v>
      </c>
      <c r="B2790" s="138">
        <f>'Expenditures 15-22'!E102</f>
        <v>8247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8247</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751100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759347</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144474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844812</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212150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1163712</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1019238</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212150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55876</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429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429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5300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16710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22010</v>
      </c>
      <c r="C5120" s="2" t="s">
        <v>594</v>
      </c>
      <c r="D5120" s="2" t="str">
        <f t="shared" si="79"/>
        <v>Error?</v>
      </c>
    </row>
    <row r="5121" spans="1:4" x14ac:dyDescent="0.2">
      <c r="A5121" s="5">
        <v>5060</v>
      </c>
      <c r="B5121" s="138">
        <f>'Revenues 9-14'!C109</f>
        <v>22439</v>
      </c>
      <c r="C5121" s="2" t="s">
        <v>594</v>
      </c>
      <c r="D5121" s="2" t="str">
        <f t="shared" si="79"/>
        <v>Error?</v>
      </c>
    </row>
    <row r="5122" spans="1:4" x14ac:dyDescent="0.2">
      <c r="A5122" s="5">
        <v>5061</v>
      </c>
      <c r="B5122" s="138">
        <f>'Revenues 9-14'!C111</f>
        <v>683680</v>
      </c>
      <c r="D5122" s="2" t="str">
        <f t="shared" si="79"/>
        <v>Error?</v>
      </c>
    </row>
    <row r="5123" spans="1:4" x14ac:dyDescent="0.2">
      <c r="A5123" s="5">
        <v>5062</v>
      </c>
      <c r="B5123" s="138">
        <f>'Revenues 9-14'!C112</f>
        <v>153827</v>
      </c>
      <c r="D5123" s="2" t="str">
        <f t="shared" si="79"/>
        <v>Error?</v>
      </c>
    </row>
    <row r="5124" spans="1:4" x14ac:dyDescent="0.2">
      <c r="A5124" s="5">
        <v>5063</v>
      </c>
      <c r="B5124" s="138">
        <f>'Revenues 9-14'!C113</f>
        <v>7305</v>
      </c>
      <c r="D5124" s="2" t="str">
        <f t="shared" si="79"/>
        <v>Error?</v>
      </c>
    </row>
    <row r="5125" spans="1:4" x14ac:dyDescent="0.2">
      <c r="A5125" s="5">
        <v>5064</v>
      </c>
      <c r="B5125" s="138">
        <f>'Revenues 9-14'!C114</f>
        <v>844812</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240585</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240585</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240585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240585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55876</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55876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55876</v>
      </c>
      <c r="C5326" s="2" t="s">
        <v>594</v>
      </c>
      <c r="D5326" s="2" t="str">
        <f t="shared" si="82"/>
        <v>Error?</v>
      </c>
    </row>
    <row r="5327" spans="1:4" x14ac:dyDescent="0.2">
      <c r="A5327" s="5">
        <v>5266</v>
      </c>
      <c r="B5327" s="138">
        <f>'Revenues 9-14'!C275</f>
        <v>1163712</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144474</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0.68099929295309924</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122886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0" t="s">
        <v>1253</v>
      </c>
      <c r="B2" s="2420"/>
      <c r="C2" s="2420"/>
      <c r="D2" s="2420"/>
      <c r="E2" s="2420"/>
      <c r="F2" s="2420"/>
      <c r="G2" s="2420"/>
      <c r="H2" s="2420"/>
      <c r="I2" s="2420"/>
      <c r="J2" s="2420"/>
      <c r="K2" s="2420"/>
      <c r="L2" s="2420"/>
    </row>
    <row r="3" spans="1:29" ht="13.5" customHeight="1" x14ac:dyDescent="0.2">
      <c r="A3" s="2406" t="s">
        <v>1252</v>
      </c>
      <c r="B3" s="2406"/>
      <c r="C3" s="2406"/>
      <c r="D3" s="2406"/>
      <c r="E3" s="2406"/>
      <c r="F3" s="2406"/>
      <c r="G3" s="2406"/>
      <c r="H3" s="2406"/>
      <c r="I3" s="2406"/>
      <c r="J3" s="2406"/>
      <c r="K3" s="2406"/>
      <c r="L3" s="2406"/>
    </row>
    <row r="4" spans="1:29" ht="13.5" customHeight="1" x14ac:dyDescent="0.2">
      <c r="A4" s="2420" t="s">
        <v>1799</v>
      </c>
      <c r="B4" s="2437"/>
      <c r="C4" s="2437"/>
      <c r="D4" s="2437"/>
      <c r="E4" s="2437"/>
      <c r="F4" s="2437"/>
      <c r="G4" s="2437"/>
      <c r="H4" s="2437"/>
      <c r="I4" s="2437"/>
      <c r="J4" s="2437"/>
      <c r="K4" s="2437"/>
      <c r="L4" s="2437"/>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0" t="str">
        <f>COVER!A17</f>
        <v>Starved Rock Associates for Vocational and Technical Education</v>
      </c>
      <c r="B7" s="2401"/>
      <c r="C7" s="2401"/>
      <c r="D7" s="2438"/>
      <c r="E7" s="2439">
        <f>COVER!A13</f>
        <v>35050720045</v>
      </c>
      <c r="F7" s="2440"/>
      <c r="G7" s="2407" t="str">
        <f>COVER!T23</f>
        <v>065-028451</v>
      </c>
      <c r="H7" s="2408"/>
      <c r="I7" s="2408"/>
      <c r="J7" s="2408"/>
      <c r="K7" s="2408"/>
      <c r="L7" s="2409"/>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0"/>
      <c r="B9" s="2411"/>
      <c r="C9" s="2411"/>
      <c r="D9" s="2411"/>
      <c r="E9" s="2411"/>
      <c r="F9" s="2412"/>
      <c r="G9" s="2413" t="str">
        <f>COVER!T13</f>
        <v>Sikich LLP</v>
      </c>
      <c r="H9" s="2414"/>
      <c r="I9" s="2414"/>
      <c r="J9" s="2414"/>
      <c r="K9" s="2414"/>
      <c r="L9" s="2415"/>
    </row>
    <row r="10" spans="1:29" ht="13.5" customHeight="1" x14ac:dyDescent="0.2">
      <c r="A10" s="2397" t="str">
        <f>COVER!A38</f>
        <v>Dwayne Mentgen</v>
      </c>
      <c r="B10" s="2398"/>
      <c r="C10" s="2398"/>
      <c r="D10" s="2398"/>
      <c r="E10" s="2398"/>
      <c r="F10" s="2399"/>
      <c r="G10" s="2413" t="str">
        <f>COVER!T17</f>
        <v>1415 W. Diehl Rd, Suite 400</v>
      </c>
      <c r="H10" s="2426"/>
      <c r="I10" s="2426"/>
      <c r="J10" s="2426"/>
      <c r="K10" s="2426"/>
      <c r="L10" s="2427"/>
    </row>
    <row r="11" spans="1:29" ht="13.5" customHeight="1" x14ac:dyDescent="0.2">
      <c r="A11" s="1185" t="s">
        <v>1599</v>
      </c>
      <c r="B11" s="1186"/>
      <c r="C11" s="1187"/>
      <c r="D11" s="1192"/>
      <c r="E11" s="1187"/>
      <c r="F11" s="1191"/>
      <c r="G11" s="2413" t="str">
        <f>COVER!T19</f>
        <v>Naperville</v>
      </c>
      <c r="H11" s="2426"/>
      <c r="I11" s="2426"/>
      <c r="J11" s="2426"/>
      <c r="K11" s="2426"/>
      <c r="L11" s="2427"/>
    </row>
    <row r="12" spans="1:29" ht="13.5" customHeight="1" x14ac:dyDescent="0.2">
      <c r="A12" s="2431" t="s">
        <v>1598</v>
      </c>
      <c r="B12" s="2432"/>
      <c r="C12" s="2432"/>
      <c r="D12" s="2432"/>
      <c r="E12" s="2432"/>
      <c r="F12" s="2433"/>
      <c r="G12" s="2428"/>
      <c r="H12" s="2429"/>
      <c r="I12" s="2429"/>
      <c r="J12" s="2429"/>
      <c r="K12" s="2429"/>
      <c r="L12" s="2430"/>
    </row>
    <row r="13" spans="1:29" ht="13.5" customHeight="1" x14ac:dyDescent="0.2">
      <c r="A13" s="2413"/>
      <c r="B13" s="2426"/>
      <c r="C13" s="2426"/>
      <c r="D13" s="2426"/>
      <c r="E13" s="2426"/>
      <c r="F13" s="2427"/>
      <c r="G13" s="2421" t="s">
        <v>1600</v>
      </c>
      <c r="H13" s="2422"/>
      <c r="I13" s="2434" t="str">
        <f>COVER!T25</f>
        <v>brian.lefevre@sikich.com</v>
      </c>
      <c r="J13" s="2435"/>
      <c r="K13" s="2435"/>
      <c r="L13" s="2436"/>
    </row>
    <row r="14" spans="1:29" ht="13.5" customHeight="1" x14ac:dyDescent="0.2">
      <c r="A14" s="2413" t="str">
        <f>COVER!A19</f>
        <v>200 Ninth Street</v>
      </c>
      <c r="B14" s="2426"/>
      <c r="C14" s="2426"/>
      <c r="D14" s="2426"/>
      <c r="E14" s="2426"/>
      <c r="F14" s="2427"/>
      <c r="G14" s="1196" t="s">
        <v>1247</v>
      </c>
      <c r="H14" s="1194"/>
      <c r="I14" s="1194"/>
      <c r="J14" s="1194"/>
      <c r="K14" s="1194"/>
      <c r="L14" s="1195"/>
    </row>
    <row r="15" spans="1:29" ht="13.5" customHeight="1" x14ac:dyDescent="0.2">
      <c r="A15" s="2413" t="str">
        <f>COVER!A21</f>
        <v>Peru</v>
      </c>
      <c r="B15" s="2426"/>
      <c r="C15" s="2426"/>
      <c r="D15" s="2426"/>
      <c r="E15" s="2426"/>
      <c r="F15" s="2427"/>
      <c r="G15" s="2423" t="str">
        <f>COVER!T15</f>
        <v>Brian LeFevre</v>
      </c>
      <c r="H15" s="2424"/>
      <c r="I15" s="2424"/>
      <c r="J15" s="2424"/>
      <c r="K15" s="2424"/>
      <c r="L15" s="2425"/>
    </row>
    <row r="16" spans="1:29" ht="12.2" customHeight="1" x14ac:dyDescent="0.2">
      <c r="A16" s="2403">
        <f>COVER!A25</f>
        <v>61301</v>
      </c>
      <c r="B16" s="2404"/>
      <c r="C16" s="2404"/>
      <c r="D16" s="2404"/>
      <c r="E16" s="2404"/>
      <c r="F16" s="2405"/>
      <c r="G16" s="2416"/>
      <c r="H16" s="2417"/>
      <c r="I16" s="2417"/>
      <c r="J16" s="2417"/>
      <c r="K16" s="2417"/>
      <c r="L16" s="2418"/>
    </row>
    <row r="17" spans="1:13" ht="12.2" customHeight="1" x14ac:dyDescent="0.2">
      <c r="A17" s="2419"/>
      <c r="B17" s="2404"/>
      <c r="C17" s="2404"/>
      <c r="D17" s="2404"/>
      <c r="E17" s="2404"/>
      <c r="F17" s="2405"/>
      <c r="G17" s="1196" t="s">
        <v>1246</v>
      </c>
      <c r="H17" s="1194"/>
      <c r="I17" s="1194"/>
      <c r="J17" s="1194"/>
      <c r="K17" s="1198" t="s">
        <v>1245</v>
      </c>
      <c r="L17" s="1191"/>
      <c r="M17" s="1184"/>
    </row>
    <row r="18" spans="1:13" ht="12.2" customHeight="1" x14ac:dyDescent="0.2">
      <c r="A18" s="2397"/>
      <c r="B18" s="2398"/>
      <c r="C18" s="2398"/>
      <c r="D18" s="2398"/>
      <c r="E18" s="2398"/>
      <c r="F18" s="2399"/>
      <c r="G18" s="2400" t="str">
        <f>COVER!T21</f>
        <v>630-566-8505</v>
      </c>
      <c r="H18" s="2401"/>
      <c r="I18" s="2401"/>
      <c r="J18" s="2401"/>
      <c r="K18" s="2400" t="str">
        <f>COVER!X21</f>
        <v>630-499-5885</v>
      </c>
      <c r="L18" s="2402"/>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1" t="str">
        <f>'Single Audit Cover'!A7</f>
        <v>Starved Rock Associates for Vocational and Technical Education</v>
      </c>
      <c r="B1" s="2437"/>
      <c r="C1" s="2437"/>
      <c r="D1" s="2437"/>
    </row>
    <row r="2" spans="1:11" s="1215" customFormat="1" ht="12.75" x14ac:dyDescent="0.2">
      <c r="A2" s="2442">
        <f>'Single Audit Cover'!E7</f>
        <v>35050720045</v>
      </c>
      <c r="B2" s="2443"/>
      <c r="C2" s="2443"/>
      <c r="D2" s="2443"/>
    </row>
    <row r="3" spans="1:11" s="1215" customFormat="1" ht="12.75" x14ac:dyDescent="0.2">
      <c r="A3" s="2441" t="s">
        <v>1593</v>
      </c>
      <c r="B3" s="2437"/>
      <c r="C3" s="2437"/>
      <c r="D3" s="2437"/>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5" t="str">
        <f>'Single Audit Cover'!A7</f>
        <v>Starved Rock Associates for Vocational and Technical Education</v>
      </c>
      <c r="B1" s="2445"/>
      <c r="C1" s="2445"/>
      <c r="D1" s="2445"/>
      <c r="E1" s="2445"/>
    </row>
    <row r="2" spans="1:5" x14ac:dyDescent="0.2">
      <c r="A2" s="2446">
        <f>'Single Audit Cover'!E7</f>
        <v>35050720045</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60" t="s">
        <v>1305</v>
      </c>
    </row>
    <row r="10" spans="1:5" x14ac:dyDescent="0.2">
      <c r="A10" s="1261" t="s">
        <v>1304</v>
      </c>
      <c r="B10" s="1262" t="s">
        <v>1303</v>
      </c>
      <c r="C10" s="1262"/>
      <c r="D10" s="1263">
        <f>SUM('Acct Summary 7-8'!C7:K7)</f>
        <v>55876</v>
      </c>
    </row>
    <row r="11" spans="1:5" ht="18" customHeight="1" x14ac:dyDescent="0.2">
      <c r="A11" s="1261" t="s">
        <v>1302</v>
      </c>
      <c r="B11" s="1262"/>
      <c r="C11" s="1262"/>
    </row>
    <row r="12" spans="1:5" x14ac:dyDescent="0.2">
      <c r="A12" s="1261" t="s">
        <v>1301</v>
      </c>
      <c r="B12" s="1262" t="s">
        <v>1300</v>
      </c>
      <c r="C12" s="1262"/>
      <c r="D12" s="1264">
        <f>SUM('Revenues 9-14'!C112:D112,'Revenues 9-14'!F112:G112)</f>
        <v>153827</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209703</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7"/>
      <c r="B24" s="2447"/>
      <c r="D24" s="1268"/>
    </row>
    <row r="25" spans="1:4" x14ac:dyDescent="0.2">
      <c r="A25" s="2444"/>
      <c r="B25" s="2444"/>
      <c r="D25" s="1268"/>
    </row>
    <row r="26" spans="1:4" x14ac:dyDescent="0.2">
      <c r="A26" s="2444"/>
      <c r="B26" s="2444"/>
      <c r="D26" s="1268"/>
    </row>
    <row r="27" spans="1:4" x14ac:dyDescent="0.2">
      <c r="A27" s="2444"/>
      <c r="B27" s="2444"/>
      <c r="D27" s="1268"/>
    </row>
    <row r="28" spans="1:4" x14ac:dyDescent="0.2">
      <c r="A28" s="2444"/>
      <c r="B28" s="2444"/>
      <c r="D28" s="1268"/>
    </row>
    <row r="29" spans="1:4" x14ac:dyDescent="0.2">
      <c r="A29" s="2444"/>
      <c r="B29" s="2444"/>
      <c r="D29" s="1268"/>
    </row>
    <row r="30" spans="1:4" x14ac:dyDescent="0.2">
      <c r="A30" s="2444"/>
      <c r="B30" s="2444"/>
      <c r="D30" s="1268"/>
    </row>
    <row r="32" spans="1:4" x14ac:dyDescent="0.2">
      <c r="A32" s="1260" t="s">
        <v>1295</v>
      </c>
      <c r="D32" s="1263">
        <f>SUM(D19:D30)</f>
        <v>209703</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4"/>
      <c r="B40" s="2444"/>
      <c r="D40" s="1268"/>
    </row>
    <row r="41" spans="1:4" x14ac:dyDescent="0.2">
      <c r="A41" s="2444"/>
      <c r="B41" s="2444"/>
      <c r="D41" s="1271"/>
    </row>
    <row r="42" spans="1:4" x14ac:dyDescent="0.2">
      <c r="A42" s="2444"/>
      <c r="B42" s="2444"/>
      <c r="D42" s="1271"/>
    </row>
    <row r="43" spans="1:4" x14ac:dyDescent="0.2">
      <c r="A43" s="2444"/>
      <c r="B43" s="2444"/>
      <c r="D43" s="1271"/>
    </row>
    <row r="44" spans="1:4" x14ac:dyDescent="0.2">
      <c r="A44" s="2444"/>
      <c r="B44" s="2444"/>
      <c r="D44" s="1271"/>
    </row>
    <row r="45" spans="1:4" x14ac:dyDescent="0.2">
      <c r="A45" s="2444"/>
      <c r="B45" s="2444"/>
      <c r="D45" s="1271"/>
    </row>
    <row r="47" spans="1:4" x14ac:dyDescent="0.2">
      <c r="B47" s="1272" t="s">
        <v>1289</v>
      </c>
      <c r="C47" s="1272"/>
      <c r="D47" s="1273">
        <f>SUM(D35:D45)</f>
        <v>0</v>
      </c>
    </row>
    <row r="49" spans="2:4" x14ac:dyDescent="0.2">
      <c r="B49" s="1272" t="s">
        <v>1288</v>
      </c>
      <c r="C49" s="1272"/>
      <c r="D49" s="1273">
        <f>D32-D47</f>
        <v>209703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Starved Rock Associates for Vocational and Technical Education</v>
      </c>
      <c r="B1" s="2450"/>
      <c r="C1" s="2450"/>
      <c r="D1" s="2450"/>
      <c r="E1" s="2450"/>
      <c r="F1" s="2450"/>
    </row>
    <row r="2" spans="1:7" ht="13.5" customHeight="1" x14ac:dyDescent="0.2">
      <c r="A2" s="2451">
        <f>'Single Audit Cover'!E7</f>
        <v>35050720045</v>
      </c>
      <c r="B2" s="2451"/>
      <c r="C2" s="2451"/>
      <c r="D2" s="2451"/>
      <c r="E2" s="2451"/>
      <c r="F2" s="2451"/>
      <c r="G2" s="1275"/>
    </row>
    <row r="3" spans="1:7" ht="15.75" customHeight="1" x14ac:dyDescent="0.2">
      <c r="A3" s="2452" t="s">
        <v>1333</v>
      </c>
      <c r="B3" s="2452"/>
      <c r="C3" s="2452"/>
      <c r="D3" s="2452"/>
      <c r="E3" s="2452"/>
      <c r="F3" s="2452"/>
    </row>
    <row r="4" spans="1:7" ht="13.5" customHeight="1" x14ac:dyDescent="0.2">
      <c r="A4" s="2453" t="str">
        <f>'Single Audit Cover'!A4</f>
        <v>Year Ending June 30, 2018</v>
      </c>
      <c r="B4" s="2453"/>
      <c r="C4" s="2453"/>
      <c r="D4" s="2453"/>
      <c r="E4" s="2453"/>
      <c r="F4" s="2453"/>
    </row>
    <row r="5" spans="1:7" ht="8.25" customHeight="1" x14ac:dyDescent="0.2">
      <c r="C5" s="317"/>
      <c r="D5" s="317"/>
    </row>
    <row r="6" spans="1:7" ht="13.5" customHeight="1" x14ac:dyDescent="0.2">
      <c r="A6" s="1276" t="s">
        <v>1831</v>
      </c>
      <c r="C6" s="317"/>
      <c r="D6" s="317"/>
    </row>
    <row r="7" spans="1:7" ht="60.95" customHeight="1" x14ac:dyDescent="0.2">
      <c r="A7" s="2449" t="s">
        <v>1832</v>
      </c>
      <c r="B7" s="2449"/>
      <c r="C7" s="2449"/>
      <c r="D7" s="2449"/>
      <c r="E7" s="2449"/>
      <c r="F7" s="2449"/>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49" t="s">
        <v>1834</v>
      </c>
      <c r="B13" s="2449"/>
      <c r="C13" s="2449"/>
      <c r="D13" s="2449"/>
      <c r="E13" s="2449"/>
      <c r="F13" s="2449"/>
    </row>
    <row r="14" spans="1:7" ht="9.75" customHeight="1" x14ac:dyDescent="0.2">
      <c r="C14" s="1260"/>
      <c r="D14" s="1260"/>
    </row>
    <row r="15" spans="1:7" ht="13.5" customHeight="1" x14ac:dyDescent="0.2">
      <c r="C15" s="1871" t="s">
        <v>1332</v>
      </c>
      <c r="D15" s="2455" t="s">
        <v>1331</v>
      </c>
      <c r="E15" s="2455"/>
      <c r="F15" s="2455"/>
    </row>
    <row r="16" spans="1:7" ht="13.5" customHeight="1" x14ac:dyDescent="0.2">
      <c r="A16" s="1282"/>
      <c r="B16" s="1276" t="s">
        <v>1330</v>
      </c>
      <c r="C16" s="1871" t="s">
        <v>1329</v>
      </c>
      <c r="D16" s="2456" t="s">
        <v>1670</v>
      </c>
      <c r="E16" s="2456"/>
      <c r="F16" s="2456"/>
    </row>
    <row r="17" spans="1:6" ht="20.45" customHeight="1" x14ac:dyDescent="0.2">
      <c r="A17" s="1283"/>
      <c r="B17" s="1284"/>
      <c r="C17" s="1285"/>
      <c r="D17" s="2454"/>
      <c r="E17" s="2454"/>
      <c r="F17" s="2454"/>
    </row>
    <row r="18" spans="1:6" ht="20.65" customHeight="1" x14ac:dyDescent="0.2">
      <c r="A18" s="1283"/>
      <c r="B18" s="1284"/>
      <c r="C18" s="1285"/>
      <c r="D18" s="2454"/>
      <c r="E18" s="2454"/>
      <c r="F18" s="2454"/>
    </row>
    <row r="19" spans="1:6" ht="20.65" customHeight="1" x14ac:dyDescent="0.2">
      <c r="A19" s="1283"/>
      <c r="B19" s="1284"/>
      <c r="C19" s="1285"/>
      <c r="D19" s="2454"/>
      <c r="E19" s="2454"/>
      <c r="F19" s="2454"/>
    </row>
    <row r="20" spans="1:6" ht="20.65" customHeight="1" x14ac:dyDescent="0.2">
      <c r="A20" s="1283"/>
      <c r="B20" s="1284"/>
      <c r="C20" s="1285"/>
      <c r="D20" s="2454"/>
      <c r="E20" s="2454"/>
      <c r="F20" s="2454"/>
    </row>
    <row r="21" spans="1:6" ht="20.65" customHeight="1" x14ac:dyDescent="0.2">
      <c r="A21" s="1283"/>
      <c r="B21" s="1284"/>
      <c r="C21" s="1285"/>
      <c r="D21" s="2454"/>
      <c r="E21" s="2454"/>
      <c r="F21" s="2454"/>
    </row>
    <row r="22" spans="1:6" ht="20.65" customHeight="1" x14ac:dyDescent="0.2">
      <c r="A22" s="1283"/>
      <c r="B22" s="1284"/>
      <c r="C22" s="1285"/>
      <c r="D22" s="2454"/>
      <c r="E22" s="2454"/>
      <c r="F22" s="2454"/>
    </row>
    <row r="23" spans="1:6" ht="20.65" customHeight="1" x14ac:dyDescent="0.2">
      <c r="A23" s="1283"/>
      <c r="B23" s="1284"/>
      <c r="C23" s="1285"/>
      <c r="D23" s="2454"/>
      <c r="E23" s="2454"/>
      <c r="F23" s="2454"/>
    </row>
    <row r="24" spans="1:6" ht="20.65" customHeight="1" x14ac:dyDescent="0.2">
      <c r="A24" s="1283"/>
      <c r="B24" s="1284"/>
      <c r="C24" s="1285"/>
      <c r="D24" s="2454"/>
      <c r="E24" s="2454"/>
      <c r="F24" s="2454"/>
    </row>
    <row r="25" spans="1:6" ht="20.65" customHeight="1" x14ac:dyDescent="0.2">
      <c r="A25" s="1283"/>
      <c r="B25" s="1284"/>
      <c r="C25" s="1285"/>
      <c r="D25" s="2454"/>
      <c r="E25" s="2454"/>
      <c r="F25" s="2454"/>
    </row>
    <row r="26" spans="1:6" ht="20.65" customHeight="1" x14ac:dyDescent="0.2">
      <c r="A26" s="1283"/>
      <c r="B26" s="1284"/>
      <c r="C26" s="1285"/>
      <c r="D26" s="2454"/>
      <c r="E26" s="2454"/>
      <c r="F26" s="2454"/>
    </row>
    <row r="27" spans="1:6" ht="20.65" customHeight="1" x14ac:dyDescent="0.2">
      <c r="A27" s="1283"/>
      <c r="B27" s="1284"/>
      <c r="C27" s="1285"/>
      <c r="D27" s="2454"/>
      <c r="E27" s="2454"/>
      <c r="F27" s="2454"/>
    </row>
    <row r="28" spans="1:6" ht="20.65" customHeight="1" x14ac:dyDescent="0.2">
      <c r="A28" s="1283"/>
      <c r="B28" s="1284"/>
      <c r="C28" s="1285"/>
      <c r="D28" s="2454"/>
      <c r="E28" s="2454"/>
      <c r="F28" s="2454"/>
    </row>
    <row r="29" spans="1:6" ht="20.65" customHeight="1" x14ac:dyDescent="0.2">
      <c r="A29" s="1283"/>
      <c r="B29" s="1284"/>
      <c r="C29" s="1285"/>
      <c r="D29" s="2454"/>
      <c r="E29" s="2454"/>
      <c r="F29" s="2454"/>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8" t="s">
        <v>1835</v>
      </c>
      <c r="B32" s="2458"/>
      <c r="C32" s="2458"/>
      <c r="D32" s="2458"/>
      <c r="E32" s="2458"/>
      <c r="F32" s="2458"/>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9">
        <f>+C33+C34</f>
        <v>0</v>
      </c>
      <c r="F34" s="2460"/>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1" t="s">
        <v>1672</v>
      </c>
      <c r="C49" s="2461"/>
      <c r="D49" s="2461"/>
      <c r="E49" s="1399"/>
    </row>
    <row r="50" spans="1:5" s="1300" customFormat="1" ht="3.75" customHeight="1" x14ac:dyDescent="0.2">
      <c r="A50" s="1299"/>
      <c r="B50" s="1870"/>
      <c r="C50" s="1870"/>
      <c r="D50" s="1870"/>
      <c r="E50" s="1399"/>
    </row>
    <row r="51" spans="1:5" s="1300" customFormat="1" ht="20.25" customHeight="1" x14ac:dyDescent="0.2">
      <c r="A51" s="1301">
        <v>6</v>
      </c>
      <c r="B51" s="2457" t="s">
        <v>1632</v>
      </c>
      <c r="C51" s="2457"/>
      <c r="D51" s="2457"/>
    </row>
    <row r="52" spans="1:5" ht="14.25" customHeight="1" x14ac:dyDescent="0.2">
      <c r="A52" s="1301"/>
      <c r="B52" s="2457"/>
      <c r="C52" s="2457"/>
      <c r="D52" s="245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6" t="str">
        <f>'Single Audit Cover'!A7</f>
        <v>Starved Rock Associates for Vocational and Technical Education</v>
      </c>
      <c r="C1" s="2462"/>
      <c r="D1" s="2462"/>
      <c r="E1" s="2462"/>
      <c r="F1" s="2462"/>
      <c r="G1" s="2462"/>
      <c r="H1" s="2462"/>
      <c r="I1" s="2462"/>
      <c r="J1" s="2462"/>
      <c r="K1" s="2462"/>
      <c r="L1" s="2462"/>
      <c r="M1" s="2462"/>
    </row>
    <row r="2" spans="2:14" ht="15" x14ac:dyDescent="0.2">
      <c r="B2" s="2451">
        <f>'Single Audit Cover'!E7</f>
        <v>35050720045</v>
      </c>
      <c r="C2" s="2451"/>
      <c r="D2" s="2451"/>
      <c r="E2" s="2451"/>
      <c r="F2" s="2451"/>
      <c r="G2" s="2451"/>
      <c r="H2" s="2451"/>
      <c r="I2" s="2451"/>
      <c r="J2" s="2451"/>
      <c r="K2" s="2451"/>
      <c r="L2" s="2451"/>
      <c r="M2" s="2451"/>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Starved Rock Associates for Vocational and Technical Education</v>
      </c>
      <c r="C1" s="2470"/>
      <c r="D1" s="2470"/>
      <c r="E1" s="2470"/>
      <c r="F1" s="2470"/>
      <c r="G1" s="2470"/>
      <c r="H1" s="2470"/>
      <c r="I1" s="2470"/>
      <c r="J1" s="1422"/>
    </row>
    <row r="2" spans="2:10" s="317" customFormat="1" ht="12.75" customHeight="1" x14ac:dyDescent="0.2">
      <c r="B2" s="2471">
        <f>'Single Audit Cover'!E7</f>
        <v>35050720045</v>
      </c>
      <c r="C2" s="2472"/>
      <c r="D2" s="2472"/>
      <c r="E2" s="2472"/>
      <c r="F2" s="2472"/>
      <c r="G2" s="2472"/>
      <c r="H2" s="2472"/>
      <c r="I2" s="2472"/>
      <c r="J2" s="1422"/>
    </row>
    <row r="3" spans="2:10" s="317" customFormat="1" ht="12.75" customHeight="1" x14ac:dyDescent="0.2">
      <c r="B3" s="2473" t="s">
        <v>1347</v>
      </c>
      <c r="C3" s="2474"/>
      <c r="D3" s="2474"/>
      <c r="E3" s="2474"/>
      <c r="F3" s="2474"/>
      <c r="G3" s="2474"/>
      <c r="H3" s="2474"/>
      <c r="I3" s="2474"/>
      <c r="J3" s="1423"/>
    </row>
    <row r="4" spans="2:10" s="317" customFormat="1" ht="12.75" customHeight="1" x14ac:dyDescent="0.2">
      <c r="B4" s="2473" t="str">
        <f>'Single Audit Cover'!A4</f>
        <v>Year Ending June 30, 2018</v>
      </c>
      <c r="C4" s="2474"/>
      <c r="D4" s="2474"/>
      <c r="E4" s="2474"/>
      <c r="F4" s="2474"/>
      <c r="G4" s="2474"/>
      <c r="H4" s="2474"/>
      <c r="I4" s="247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3" t="s">
        <v>1346</v>
      </c>
      <c r="C7" s="2474"/>
      <c r="D7" s="2474"/>
      <c r="E7" s="2474"/>
      <c r="F7" s="2474"/>
      <c r="G7" s="2474"/>
      <c r="H7" s="2474"/>
      <c r="I7" s="247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5"/>
      <c r="D11" s="247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6"/>
      <c r="E29" s="2476"/>
      <c r="F29" s="2476"/>
      <c r="G29" s="2476"/>
      <c r="H29" s="2476"/>
      <c r="I29" s="2476"/>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7" t="s">
        <v>1854</v>
      </c>
      <c r="D37" s="2478"/>
      <c r="E37" s="2478"/>
      <c r="F37" s="2479"/>
      <c r="G37" s="2477" t="s">
        <v>1674</v>
      </c>
      <c r="H37" s="2478"/>
      <c r="I37" s="2479"/>
    </row>
    <row r="38" spans="2:9" ht="16.5" customHeight="1" x14ac:dyDescent="0.2">
      <c r="B38" s="1444"/>
      <c r="C38" s="2465"/>
      <c r="D38" s="2466"/>
      <c r="E38" s="2466"/>
      <c r="F38" s="2467"/>
      <c r="G38" s="2480"/>
      <c r="H38" s="2481"/>
      <c r="I38" s="2482"/>
    </row>
    <row r="39" spans="2:9" ht="16.5" customHeight="1" x14ac:dyDescent="0.2">
      <c r="B39" s="1444"/>
      <c r="C39" s="2465"/>
      <c r="D39" s="2466"/>
      <c r="E39" s="2466"/>
      <c r="F39" s="2467"/>
      <c r="G39" s="2468"/>
      <c r="H39" s="2468"/>
      <c r="I39" s="2468"/>
    </row>
    <row r="40" spans="2:9" ht="16.5" customHeight="1" x14ac:dyDescent="0.2">
      <c r="B40" s="1444"/>
      <c r="C40" s="2465"/>
      <c r="D40" s="2466"/>
      <c r="E40" s="2466"/>
      <c r="F40" s="2467"/>
      <c r="G40" s="2468"/>
      <c r="H40" s="2468"/>
      <c r="I40" s="2468"/>
    </row>
    <row r="41" spans="2:9" ht="16.5" customHeight="1" x14ac:dyDescent="0.2">
      <c r="B41" s="1444"/>
      <c r="C41" s="2465"/>
      <c r="D41" s="2466"/>
      <c r="E41" s="2466"/>
      <c r="F41" s="2467"/>
      <c r="G41" s="2468"/>
      <c r="H41" s="2468"/>
      <c r="I41" s="2468"/>
    </row>
    <row r="42" spans="2:9" ht="16.5" customHeight="1" x14ac:dyDescent="0.2">
      <c r="B42" s="1444"/>
      <c r="C42" s="2465"/>
      <c r="D42" s="2466"/>
      <c r="E42" s="2466"/>
      <c r="F42" s="2467"/>
      <c r="G42" s="2468"/>
      <c r="H42" s="2468"/>
      <c r="I42" s="2468"/>
    </row>
    <row r="43" spans="2:9" ht="16.5" customHeight="1" x14ac:dyDescent="0.2">
      <c r="B43" s="1444"/>
      <c r="C43" s="2483" t="s">
        <v>1675</v>
      </c>
      <c r="D43" s="2484"/>
      <c r="E43" s="2484"/>
      <c r="F43" s="2485"/>
      <c r="G43" s="2486">
        <f>SUM(G38:I42)</f>
        <v>0</v>
      </c>
      <c r="H43" s="2486"/>
      <c r="I43" s="2486"/>
    </row>
    <row r="44" spans="2:9" ht="12.75" customHeight="1" x14ac:dyDescent="0.2"/>
    <row r="45" spans="2:9" ht="12.75" customHeight="1" x14ac:dyDescent="0.2">
      <c r="B45" s="1435" t="s">
        <v>1951</v>
      </c>
      <c r="D45" s="2487">
        <v>0</v>
      </c>
      <c r="E45" s="2488"/>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89"/>
      <c r="F49" s="2489"/>
      <c r="G49" s="2489"/>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Starved Rock Associates for Vocational and Technical Education</v>
      </c>
      <c r="C1" s="2469"/>
      <c r="D1" s="2469"/>
      <c r="E1" s="2469"/>
      <c r="F1" s="2469"/>
      <c r="G1" s="2469"/>
      <c r="H1" s="2469"/>
      <c r="I1" s="2469"/>
      <c r="J1" s="2469"/>
      <c r="K1" s="2469"/>
      <c r="L1" s="1374"/>
      <c r="M1" s="1374"/>
    </row>
    <row r="2" spans="1:13" ht="12" customHeight="1" x14ac:dyDescent="0.2">
      <c r="B2" s="2471">
        <f>'Single Audit Cover'!E7</f>
        <v>35050720045</v>
      </c>
      <c r="C2" s="2471"/>
      <c r="D2" s="2471"/>
      <c r="E2" s="2471"/>
      <c r="F2" s="2471"/>
      <c r="G2" s="2471"/>
      <c r="H2" s="2471"/>
      <c r="I2" s="2471"/>
      <c r="J2" s="2471"/>
      <c r="K2" s="2471"/>
      <c r="L2" s="1375"/>
      <c r="M2" s="1376"/>
    </row>
    <row r="3" spans="1:13" ht="10.35" customHeight="1" x14ac:dyDescent="0.2">
      <c r="B3" s="2492" t="s">
        <v>1347</v>
      </c>
      <c r="C3" s="2492"/>
      <c r="D3" s="2492"/>
      <c r="E3" s="2492"/>
      <c r="F3" s="2492"/>
      <c r="G3" s="2492"/>
      <c r="H3" s="2492"/>
      <c r="I3" s="2492"/>
      <c r="J3" s="2492"/>
      <c r="K3" s="2492"/>
      <c r="L3" s="1377"/>
      <c r="M3" s="1377"/>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3" t="s">
        <v>1363</v>
      </c>
      <c r="C7" s="2493"/>
      <c r="D7" s="2494"/>
      <c r="E7" s="2494"/>
      <c r="F7" s="2494"/>
      <c r="G7" s="2494"/>
      <c r="H7" s="2494"/>
      <c r="I7" s="2494"/>
      <c r="J7" s="2494"/>
      <c r="K7" s="249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1"/>
      <c r="C14" s="2491"/>
      <c r="D14" s="2491"/>
      <c r="E14" s="2491"/>
      <c r="F14" s="2491"/>
      <c r="G14" s="2491"/>
      <c r="H14" s="2491"/>
      <c r="I14" s="2491"/>
      <c r="J14" s="2491"/>
      <c r="K14" s="249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1"/>
      <c r="C17" s="2491"/>
      <c r="D17" s="2491"/>
      <c r="E17" s="2491"/>
      <c r="F17" s="2491"/>
      <c r="G17" s="2491"/>
      <c r="H17" s="2491"/>
      <c r="I17" s="2491"/>
      <c r="J17" s="2491"/>
      <c r="K17" s="2491"/>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5"/>
      <c r="C20" s="2495"/>
      <c r="D20" s="2491"/>
      <c r="E20" s="2491"/>
      <c r="F20" s="2491"/>
      <c r="G20" s="2491"/>
      <c r="H20" s="2491"/>
      <c r="I20" s="2491"/>
      <c r="J20" s="2491"/>
      <c r="K20" s="249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1"/>
      <c r="C23" s="2491"/>
      <c r="D23" s="2491"/>
      <c r="E23" s="2491"/>
      <c r="F23" s="2491"/>
      <c r="G23" s="2491"/>
      <c r="H23" s="2491"/>
      <c r="I23" s="2491"/>
      <c r="J23" s="2491"/>
      <c r="K23" s="249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1"/>
      <c r="C26" s="2491"/>
      <c r="D26" s="2491"/>
      <c r="E26" s="2491"/>
      <c r="F26" s="2491"/>
      <c r="G26" s="2491"/>
      <c r="H26" s="2491"/>
      <c r="I26" s="2491"/>
      <c r="J26" s="2491"/>
      <c r="K26" s="249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0"/>
      <c r="C29" s="2490"/>
      <c r="D29" s="2491"/>
      <c r="E29" s="2491"/>
      <c r="F29" s="2491"/>
      <c r="G29" s="2491"/>
      <c r="H29" s="2491"/>
      <c r="I29" s="2491"/>
      <c r="J29" s="2491"/>
      <c r="K29" s="249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0"/>
      <c r="C32" s="2490"/>
      <c r="D32" s="2491"/>
      <c r="E32" s="2491"/>
      <c r="F32" s="2491"/>
      <c r="G32" s="2491"/>
      <c r="H32" s="2491"/>
      <c r="I32" s="2491"/>
      <c r="J32" s="2491"/>
      <c r="K32" s="249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6" t="str">
        <f>'Single Audit Cover'!A7</f>
        <v>Starved Rock Associates for Vocational and Technical Education</v>
      </c>
      <c r="C1" s="2496"/>
      <c r="D1" s="2496"/>
      <c r="E1" s="2496"/>
      <c r="F1" s="2496"/>
      <c r="G1" s="2496"/>
      <c r="H1" s="2496"/>
      <c r="I1" s="2496"/>
      <c r="J1" s="2496"/>
      <c r="K1" s="2496"/>
      <c r="L1" s="1465"/>
    </row>
    <row r="2" spans="1:12" ht="12.75" customHeight="1" x14ac:dyDescent="0.2">
      <c r="B2" s="2497">
        <f>'Single Audit Cover'!E7</f>
        <v>35050720045</v>
      </c>
      <c r="C2" s="2497"/>
      <c r="D2" s="2497"/>
      <c r="E2" s="2497"/>
      <c r="F2" s="2497"/>
      <c r="G2" s="2497"/>
      <c r="H2" s="2497"/>
      <c r="I2" s="2497"/>
      <c r="J2" s="2497"/>
      <c r="K2" s="2497"/>
      <c r="L2" s="1466"/>
    </row>
    <row r="3" spans="1:12" ht="12.75" customHeight="1" x14ac:dyDescent="0.2">
      <c r="B3" s="2492" t="s">
        <v>1347</v>
      </c>
      <c r="C3" s="2492"/>
      <c r="D3" s="2492"/>
      <c r="E3" s="2492"/>
      <c r="F3" s="2492"/>
      <c r="G3" s="2492"/>
      <c r="H3" s="2492"/>
      <c r="I3" s="2492"/>
      <c r="J3" s="2492"/>
      <c r="K3" s="2492"/>
      <c r="L3" s="1377"/>
    </row>
    <row r="4" spans="1:12" ht="12.75" customHeight="1" x14ac:dyDescent="0.2">
      <c r="B4" s="2492" t="str">
        <f>'Single Audit Cover'!A4</f>
        <v>Year Ending June 30, 2018</v>
      </c>
      <c r="C4" s="2492"/>
      <c r="D4" s="2492"/>
      <c r="E4" s="2492"/>
      <c r="F4" s="2492"/>
      <c r="G4" s="2492"/>
      <c r="H4" s="2492"/>
      <c r="I4" s="2492"/>
      <c r="J4" s="2492"/>
      <c r="K4" s="2492"/>
      <c r="L4" s="1377"/>
    </row>
    <row r="5" spans="1:12" ht="5.25" customHeight="1" x14ac:dyDescent="0.2">
      <c r="B5" s="1260" t="s">
        <v>1231</v>
      </c>
      <c r="C5" s="1260"/>
      <c r="L5" s="322"/>
    </row>
    <row r="6" spans="1:12" ht="30.75" customHeight="1" x14ac:dyDescent="0.2">
      <c r="A6" s="322"/>
      <c r="B6" s="2498" t="s">
        <v>1375</v>
      </c>
      <c r="C6" s="2498"/>
      <c r="D6" s="2498"/>
      <c r="E6" s="2498"/>
      <c r="F6" s="2498"/>
      <c r="G6" s="2498"/>
      <c r="H6" s="2498"/>
      <c r="I6" s="2498"/>
      <c r="J6" s="2498"/>
      <c r="K6" s="2498"/>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6"/>
      <c r="G12" s="2476"/>
      <c r="H12" s="2476"/>
      <c r="I12" s="2476"/>
      <c r="J12" s="2476"/>
      <c r="K12" s="247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9"/>
      <c r="E14" s="2499"/>
      <c r="F14" s="2499"/>
      <c r="H14" s="1475" t="s">
        <v>1370</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0"/>
      <c r="E16" s="2500"/>
      <c r="F16" s="2500"/>
      <c r="G16" s="2500"/>
      <c r="H16" s="2500"/>
      <c r="I16" s="2500"/>
      <c r="J16" s="2500"/>
      <c r="K16" s="2500"/>
      <c r="L16" s="322"/>
    </row>
    <row r="17" spans="2:12" ht="13.5" customHeight="1" x14ac:dyDescent="0.2">
      <c r="B17" s="1387" t="s">
        <v>1368</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1"/>
      <c r="C20" s="2491"/>
      <c r="D20" s="2491"/>
      <c r="E20" s="2491"/>
      <c r="F20" s="2491"/>
      <c r="G20" s="2491"/>
      <c r="H20" s="2491"/>
      <c r="I20" s="2491"/>
      <c r="J20" s="2491"/>
      <c r="K20" s="249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69" t="str">
        <f>'Single Audit Cover'!A7</f>
        <v>Starved Rock Associates for Vocational and Technical Education</v>
      </c>
      <c r="C1" s="2469"/>
      <c r="D1" s="2469"/>
      <c r="E1" s="1491"/>
    </row>
    <row r="2" spans="2:5" s="1282" customFormat="1" ht="12.75" customHeight="1" x14ac:dyDescent="0.2">
      <c r="B2" s="2471">
        <f>'Single Audit Cover'!E7</f>
        <v>35050720045</v>
      </c>
      <c r="C2" s="2471"/>
      <c r="D2" s="2471"/>
      <c r="E2" s="1492"/>
    </row>
    <row r="3" spans="2:5" ht="12.75" customHeight="1" x14ac:dyDescent="0.2">
      <c r="B3" s="2492" t="s">
        <v>1869</v>
      </c>
      <c r="C3" s="2492"/>
      <c r="D3" s="2492"/>
      <c r="E3" s="1274"/>
    </row>
    <row r="4" spans="2:5" s="1282" customFormat="1" ht="12.75" customHeight="1" x14ac:dyDescent="0.2">
      <c r="B4" s="2502" t="str">
        <f>'Single Audit Cover'!A4</f>
        <v>Year Ending June 30, 2018</v>
      </c>
      <c r="C4" s="2502"/>
      <c r="D4" s="2502"/>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schemas.microsoft.com/office/2006/documentManagement/types"/>
    <ds:schemaRef ds:uri="http://purl.org/dc/elements/1.1/"/>
    <ds:schemaRef ds:uri="http://www.w3.org/XML/1998/namespace"/>
    <ds:schemaRef ds:uri="http://schemas.openxmlformats.org/package/2006/metadata/core-properties"/>
    <ds:schemaRef ds:uri="http://purl.org/dc/dcmitype/"/>
    <ds:schemaRef ds:uri="6ce3111e-7420-4802-b50a-75d4e9a0b980"/>
    <ds:schemaRef ds:uri="d21dc803-237d-4c68-8692-8d731fd29118"/>
    <ds:schemaRef ds:uri="http://schemas.microsoft.com/office/infopath/2007/PartnerControls"/>
    <ds:schemaRef ds:uri="4d435f69-8686-490b-bd6d-b153bf22ab50"/>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18</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'Expenditures 15-22'!Print_Area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2018-10-02T18:34:28Z</cp:lastPrinted>
  <dcterms:created xsi:type="dcterms:W3CDTF">2003-10-29T19:06:34Z</dcterms:created>
  <dcterms:modified xsi:type="dcterms:W3CDTF">2018-10-02T21:10:15Z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