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Joint Agreements 18\"/>
    </mc:Choice>
  </mc:AlternateContent>
  <bookViews>
    <workbookView xWindow="0" yWindow="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55" i="127" l="1"/>
  <c r="B54" i="127"/>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D7764" i="106" s="1"/>
  <c r="J85" i="28"/>
  <c r="B7758" i="106" s="1"/>
  <c r="D7758" i="106" s="1"/>
  <c r="J88" i="28"/>
  <c r="K6" i="29"/>
  <c r="B7763" i="106" s="1"/>
  <c r="B7762" i="106"/>
  <c r="K12" i="12"/>
  <c r="K23" i="12"/>
  <c r="K24" i="12" s="1"/>
  <c r="B7733" i="106" s="1"/>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82" i="36"/>
  <c r="D78" i="36"/>
  <c r="K75" i="29"/>
  <c r="K130" i="29"/>
  <c r="B2805" i="106" s="1"/>
  <c r="D2805" i="106" s="1"/>
  <c r="K185" i="29"/>
  <c r="F14" i="4" s="1"/>
  <c r="B2597" i="106" s="1"/>
  <c r="D2597"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c r="B6324" i="106"/>
  <c r="D6324" i="106" s="1"/>
  <c r="B6325" i="106"/>
  <c r="D6325" i="106" s="1"/>
  <c r="B6326" i="106"/>
  <c r="D6326" i="106" s="1"/>
  <c r="B6330" i="106"/>
  <c r="D6330" i="106" s="1"/>
  <c r="B6331" i="106"/>
  <c r="D6331" i="106" s="1"/>
  <c r="B6332" i="106"/>
  <c r="D6332" i="106" s="1"/>
  <c r="B6333" i="106"/>
  <c r="D6333" i="106"/>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c r="B6633" i="106"/>
  <c r="D6633" i="106" s="1"/>
  <c r="B6634" i="106"/>
  <c r="D6634" i="106" s="1"/>
  <c r="B6635" i="106"/>
  <c r="D6635" i="106" s="1"/>
  <c r="B6636" i="106"/>
  <c r="D6636" i="106" s="1"/>
  <c r="B6637" i="106"/>
  <c r="D6637" i="106" s="1"/>
  <c r="B6638" i="106"/>
  <c r="D6638" i="106" s="1"/>
  <c r="B6639" i="106"/>
  <c r="D6639" i="106" s="1"/>
  <c r="B6640" i="106"/>
  <c r="D6640" i="106" s="1"/>
  <c r="B6641" i="106"/>
  <c r="D6641" i="106"/>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c r="B6664" i="106"/>
  <c r="D6664" i="106" s="1"/>
  <c r="B6665" i="106"/>
  <c r="D6665" i="106" s="1"/>
  <c r="B6666" i="106"/>
  <c r="D6666" i="106" s="1"/>
  <c r="B6667" i="106"/>
  <c r="D6667" i="106"/>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c r="B6699" i="106"/>
  <c r="D6699" i="106" s="1"/>
  <c r="B6700" i="106"/>
  <c r="D6700" i="106" s="1"/>
  <c r="B6701" i="106"/>
  <c r="D6701" i="106" s="1"/>
  <c r="B6702" i="106"/>
  <c r="D6702" i="106" s="1"/>
  <c r="B6703" i="106"/>
  <c r="D6703" i="106"/>
  <c r="B6704" i="106"/>
  <c r="D6704" i="106" s="1"/>
  <c r="B6705" i="106"/>
  <c r="D6705" i="106" s="1"/>
  <c r="B6706" i="106"/>
  <c r="D6706" i="106"/>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3" i="106"/>
  <c r="B7735" i="106"/>
  <c r="D7735" i="106" s="1"/>
  <c r="B7736" i="106"/>
  <c r="D7736" i="106" s="1"/>
  <c r="B7737" i="106"/>
  <c r="D7737" i="106" s="1"/>
  <c r="B7738" i="106"/>
  <c r="D7738" i="106" s="1"/>
  <c r="K26" i="12"/>
  <c r="B7743" i="106" s="1"/>
  <c r="D7743"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71" i="36"/>
  <c r="D79" i="36"/>
  <c r="D26" i="108"/>
  <c r="F26" i="108"/>
  <c r="E27" i="108"/>
  <c r="F27" i="108"/>
  <c r="G27" i="108"/>
  <c r="F36" i="108"/>
  <c r="G28"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N22" i="3"/>
  <c r="B283" i="106" s="1"/>
  <c r="D283" i="106" s="1"/>
  <c r="D7" i="118"/>
  <c r="D8" i="118"/>
  <c r="D9" i="118"/>
  <c r="H14" i="118"/>
  <c r="H19" i="118"/>
  <c r="H24" i="118"/>
  <c r="H29" i="118"/>
  <c r="D11" i="37"/>
  <c r="J22" i="37"/>
  <c r="D24" i="37"/>
  <c r="B4270" i="106" s="1"/>
  <c r="D4270" i="106" s="1"/>
  <c r="L5" i="11"/>
  <c r="B2056" i="106" s="1"/>
  <c r="D2056" i="106" s="1"/>
  <c r="I210" i="29" l="1"/>
  <c r="B7071" i="106" s="1"/>
  <c r="D7071" i="106" s="1"/>
  <c r="H33" i="118"/>
  <c r="L15" i="11"/>
  <c r="B3459" i="106" s="1"/>
  <c r="D3459" i="106" s="1"/>
  <c r="F37" i="34"/>
  <c r="D6103" i="106"/>
  <c r="D22" i="37"/>
  <c r="F50" i="34"/>
  <c r="F131" i="34"/>
  <c r="F46" i="34"/>
  <c r="B1746" i="106"/>
  <c r="D1746" i="106" s="1"/>
  <c r="F42" i="34"/>
  <c r="D13" i="7"/>
  <c r="B3726" i="106" s="1"/>
  <c r="D3726" i="106" s="1"/>
  <c r="F70" i="34"/>
  <c r="I24" i="12"/>
  <c r="I26" i="12" s="1"/>
  <c r="B7741" i="106" s="1"/>
  <c r="D7741" i="106" s="1"/>
  <c r="H28" i="118"/>
  <c r="F21" i="8"/>
  <c r="B1879" i="106" s="1"/>
  <c r="D1879" i="106" s="1"/>
  <c r="F68" i="34"/>
  <c r="D31" i="108"/>
  <c r="F38" i="34"/>
  <c r="G35" i="108"/>
  <c r="J210" i="29"/>
  <c r="B7072" i="106" s="1"/>
  <c r="D7072" i="106" s="1"/>
  <c r="E35" i="108"/>
  <c r="B7047" i="106"/>
  <c r="D7047" i="106" s="1"/>
  <c r="D5" i="4"/>
  <c r="B3406" i="106" s="1"/>
  <c r="D3406" i="106" s="1"/>
  <c r="G172" i="5"/>
  <c r="G173" i="5" s="1"/>
  <c r="B5778" i="106" s="1"/>
  <c r="D5778" i="106" s="1"/>
  <c r="G33" i="108"/>
  <c r="C129" i="29"/>
  <c r="B1225" i="106" s="1"/>
  <c r="D1225" i="106" s="1"/>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L151" i="29"/>
  <c r="C273" i="5"/>
  <c r="B7270" i="106"/>
  <c r="B5770" i="106" l="1"/>
  <c r="D5770" i="106" s="1"/>
  <c r="D7256" i="106"/>
  <c r="J24" i="12"/>
  <c r="H22" i="37"/>
  <c r="H77" i="4"/>
  <c r="B3299" i="106" s="1"/>
  <c r="D3299" i="106" s="1"/>
  <c r="C151" i="29"/>
  <c r="B1226" i="106" s="1"/>
  <c r="D1226" i="106" s="1"/>
  <c r="I6" i="4"/>
  <c r="B5011" i="106" s="1"/>
  <c r="D5011" i="106" s="1"/>
  <c r="D7250" i="106"/>
  <c r="D7251" i="106"/>
  <c r="D41" i="108"/>
  <c r="E43" i="108" s="1"/>
  <c r="D7253" i="106"/>
  <c r="J151" i="29"/>
  <c r="B7052" i="106" s="1"/>
  <c r="D7052"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F8" i="146" s="1"/>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D10" i="146" l="1"/>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F179"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J275" i="5" l="1"/>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<sst xmlns="http://schemas.openxmlformats.org/spreadsheetml/2006/main" count="5037" uniqueCount="2109">
  <si>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</si>
  <si>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</si>
  <si>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</si>
  <si>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</si>
  <si>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</si>
  <si>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</si>
  <si>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</si>
  <si>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</si>
  <si>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</si>
  <si>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</si>
  <si>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</si>
  <si>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</si>
  <si>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</si>
  <si>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</si>
  <si>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</si>
  <si>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</si>
  <si>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</si>
  <si>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</si>
  <si>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</si>
  <si>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</si>
  <si>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</si>
  <si>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</si>
  <si>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</si>
  <si>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</si>
  <si>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</si>
  <si>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</si>
  <si>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</si>
  <si>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</si>
  <si>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</si>
  <si>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</si>
  <si>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</si>
  <si>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</si>
  <si>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</si>
  <si>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</si>
  <si>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</si>
  <si>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</si>
  <si>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</si>
  <si>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</si>
  <si>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</si>
  <si>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</si>
  <si>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</si>
  <si>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</si>
  <si>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</si>
  <si>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</si>
  <si>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</si>
  <si>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</si>
  <si>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</si>
  <si>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</si>
  <si>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</si>
  <si>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</si>
  <si>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</si>
  <si>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</si>
  <si>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</si>
  <si>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</si>
  <si>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</si>
  <si>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</si>
  <si>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</si>
  <si>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</si>
  <si>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</si>
  <si>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</si>
  <si>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</si>
  <si>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</si>
  <si>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</si>
  <si>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</si>
  <si>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</si>
  <si>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</si>
  <si>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</si>
  <si>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</si>
  <si>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</si>
  <si>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</si>
  <si>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</si>
  <si>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</si>
  <si>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</si>
  <si>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</si>
  <si>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</si>
  <si>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</si>
  <si>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</si>
  <si>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</si>
  <si>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</si>
  <si>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</si>
  <si>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</si>
  <si>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</si>
  <si>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</si>
  <si>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</si>
  <si>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</si>
  <si>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</si>
  <si>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</si>
  <si>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</si>
  <si>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</si>
  <si>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</si>
  <si>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</si>
  <si>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</si>
  <si>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</si>
  <si>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</si>
  <si>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</si>
  <si>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</si>
  <si>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</si>
  <si>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</si>
  <si>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</si>
  <si>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</si>
  <si>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</si>
  <si>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</si>
  <si>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</si>
  <si>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</si>
  <si>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</si>
  <si>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</si>
  <si>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</si>
  <si>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</si>
  <si>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</si>
  <si>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</si>
  <si>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</si>
  <si>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</si>
  <si>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</si>
  <si>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</si>
  <si>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</si>
  <si>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</si>
  <si>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</si>
  <si>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</si>
  <si>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</si>
  <si>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</si>
  <si>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</si>
  <si>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</si>
  <si>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</si>
  <si>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</si>
  <si>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</si>
  <si>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</si>
  <si>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</si>
  <si>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</si>
  <si>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</si>
  <si>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</si>
  <si>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</si>
  <si>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</si>
  <si>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</si>
  <si>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</si>
  <si>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</si>
  <si>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</si>
  <si>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</si>
  <si>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</si>
  <si>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</si>
  <si>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</si>
  <si>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</si>
  <si>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</si>
  <si>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</si>
  <si>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</si>
  <si>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</si>
  <si>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</si>
  <si>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</si>
  <si>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</si>
  <si>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</si>
  <si>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</si>
  <si>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</si>
  <si>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</si>
  <si>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</si>
  <si>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</si>
  <si>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</si>
  <si>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</si>
  <si>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</si>
  <si>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</si>
  <si>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</si>
  <si>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</si>
  <si>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</si>
  <si>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</si>
  <si>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</si>
  <si>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</si>
  <si>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</si>
  <si>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</si>
  <si>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</si>
  <si>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</si>
  <si>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</si>
  <si>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</si>
  <si>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</si>
  <si>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</si>
  <si>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</si>
  <si>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</si>
  <si>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</si>
  <si>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</si>
  <si>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</si>
  <si>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</si>
  <si>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</si>
  <si>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</si>
  <si>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</si>
  <si>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</si>
  <si>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</si>
  <si>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</si>
  <si>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</si>
  <si>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</si>
  <si>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</si>
  <si>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</si>
  <si>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</si>
  <si>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</si>
  <si>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</si>
  <si>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</si>
  <si>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</si>
  <si>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</si>
  <si>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</si>
  <si>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</si>
  <si>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</si>
  <si>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</si>
  <si>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</si>
  <si>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</si>
  <si>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</si>
  <si>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</si>
  <si>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</si>
  <si>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</si>
  <si>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</si>
  <si>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</si>
  <si>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</si>
  <si>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</si>
  <si>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</si>
  <si>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</si>
  <si>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</si>
  <si>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</si>
  <si>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</si>
  <si>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</si>
  <si>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</si>
  <si>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</si>
  <si>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</si>
  <si>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</si>
  <si>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</si>
  <si>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</si>
  <si>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</si>
  <si>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</si>
  <si>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</si>
  <si>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</si>
  <si>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</si>
  <si>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</si>
  <si>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</si>
  <si>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</si>
  <si>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</si>
  <si>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</si>
  <si>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</si>
  <si>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</si>
  <si>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</si>
  <si>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</si>
  <si>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</si>
  <si>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</si>
  <si>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</si>
  <si>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</si>
  <si>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</si>
  <si>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</si>
  <si>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</si>
  <si>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</si>
  <si>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</si>
  <si>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</si>
  <si>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</si>
  <si>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</si>
  <si>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</si>
  <si>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</si>
  <si>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</si>
  <si>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</si>
  <si>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</si>
  <si>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</si>
  <si>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</si>
  <si>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</si>
  <si>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</si>
  <si>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</si>
  <si>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</si>
  <si>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</si>
  <si>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</si>
  <si>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</si>
  <si>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</si>
  <si>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</si>
  <si>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</si>
  <si>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</si>
  <si>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</si>
  <si>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</si>
  <si>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</si>
  <si>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</si>
  <si>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</si>
  <si>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</si>
  <si>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</si>
  <si>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</si>
  <si>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</si>
  <si>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</si>
  <si>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</si>
  <si>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</si>
  <si>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</si>
  <si>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</si>
  <si>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</si>
  <si>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</si>
  <si>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</si>
  <si>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</si>
  <si>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</si>
  <si>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</si>
  <si>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</si>
  <si>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</si>
  <si>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</si>
  <si>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</si>
  <si>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</si>
  <si>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</si>
  <si>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</si>
  <si>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</si>
  <si>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</si>
  <si>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</si>
  <si>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</si>
  <si>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</si>
  <si>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</si>
  <si>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</si>
  <si>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</si>
  <si>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</si>
  <si>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</si>
  <si>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</si>
  <si>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</si>
  <si>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</si>
  <si>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</si>
  <si>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</si>
  <si>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</si>
  <si>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</si>
  <si>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</si>
  <si>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</si>
  <si>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</si>
  <si>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</si>
  <si>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</si>
  <si>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</si>
  <si>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</si>
  <si>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</si>
  <si>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</si>
  <si>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</si>
  <si>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</si>
  <si>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</si>
  <si>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</si>
  <si>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</si>
  <si>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</si>
  <si>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</si>
  <si>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</si>
  <si>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</si>
  <si>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</si>
  <si>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</si>
  <si>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</si>
  <si>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</si>
  <si>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</si>
  <si>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</si>
  <si>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</si>
  <si>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</si>
  <si>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</si>
  <si>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</si>
  <si>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</si>
  <si>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</si>
  <si>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</si>
  <si>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</si>
  <si>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</si>
  <si>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</si>
  <si>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</si>
  <si>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</si>
  <si>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</si>
  <si>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</si>
  <si>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</si>
  <si>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</si>
  <si>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</si>
  <si>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</si>
  <si>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</si>
  <si>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</si>
  <si>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</si>
  <si>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</si>
  <si>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</si>
  <si>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</si>
  <si>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</si>
  <si>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</si>
  <si>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</si>
  <si>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</si>
  <si>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</si>
  <si>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</si>
  <si>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</si>
  <si>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</si>
  <si>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</si>
  <si>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</si>
  <si>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</si>
  <si>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</si>
  <si>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</si>
  <si>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</si>
  <si>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</si>
  <si>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</si>
  <si>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</si>
  <si>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</si>
  <si>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</si>
  <si>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</si>
  <si>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</si>
  <si>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</si>
  <si>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</si>
  <si>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</si>
  <si>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</si>
  <si>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</si>
  <si>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</si>
  <si>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</si>
  <si>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</si>
  <si>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</si>
  <si>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</si>
  <si>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</si>
  <si>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</si>
  <si>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</si>
  <si>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</si>
  <si>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</si>
  <si>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</si>
  <si>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</si>
  <si>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</si>
  <si>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</si>
  <si>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</si>
  <si>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</si>
  <si>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</si>
  <si>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</si>
  <si>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</si>
  <si>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</si>
  <si>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</si>
  <si>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</si>
  <si>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</si>
  <si>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</si>
  <si>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</si>
  <si>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</si>
  <si>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</si>
  <si>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</si>
  <si>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</si>
  <si>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</si>
  <si>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</si>
  <si>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</si>
  <si>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</si>
  <si>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</si>
  <si>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</si>
  <si>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</si>
  <si>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</si>
  <si>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</si>
  <si>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</si>
  <si>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</si>
  <si>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</si>
  <si>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</si>
  <si>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</si>
  <si>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</si>
  <si>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</si>
  <si>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</si>
  <si>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</si>
  <si>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</si>
  <si>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</si>
  <si>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</si>
  <si>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</si>
  <si>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</si>
  <si>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</si>
  <si>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</si>
  <si>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</si>
  <si>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</si>
  <si>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</si>
  <si>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</si>
  <si>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</si>
  <si>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</si>
  <si>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</si>
  <si>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</si>
  <si>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</si>
  <si>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</si>
  <si>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</si>
  <si>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</si>
  <si>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</si>
  <si>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</si>
  <si>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</si>
  <si>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</si>
  <si>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</si>
  <si>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</si>
  <si>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</si>
  <si>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</si>
  <si>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</si>
  <si>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</si>
  <si>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</si>
  <si>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</si>
  <si>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</si>
  <si>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</si>
  <si>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</si>
  <si>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</si>
  <si>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</si>
  <si>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</si>
  <si>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</si>
  <si>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</si>
  <si>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</si>
  <si>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</si>
  <si>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</si>
  <si>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</si>
  <si>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</si>
  <si>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</si>
  <si>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</si>
  <si>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</si>
  <si>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</si>
  <si>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</si>
  <si>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</si>
  <si>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</si>
  <si>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</si>
  <si>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</si>
  <si>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</si>
  <si>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</si>
  <si>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</si>
  <si>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</si>
  <si>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</si>
  <si>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</si>
  <si>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</si>
  <si>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</si>
  <si>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</si>
  <si>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</si>
  <si>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</si>
  <si>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</si>
  <si>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</si>
  <si>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</si>
  <si>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</si>
  <si>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</si>
  <si>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</si>
  <si>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</si>
  <si>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</si>
  <si>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</si>
  <si>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</si>
  <si>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</si>
  <si>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</si>
  <si>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</si>
  <si>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</si>
  <si>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</si>
  <si>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</si>
  <si>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</si>
  <si>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</si>
  <si>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</si>
  <si>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</si>
  <si>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</si>
  <si>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</si>
  <si>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</si>
  <si>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</si>
  <si>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</si>
  <si>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</si>
  <si>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</si>
  <si>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</si>
  <si>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</si>
  <si>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</si>
  <si>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</si>
  <si>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</si>
  <si>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</si>
  <si>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</si>
  <si>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</si>
  <si>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</si>
  <si>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</si>
  <si>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</si>
  <si>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</si>
  <si>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</si>
  <si>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</si>
  <si>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</si>
  <si>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</si>
  <si>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</si>
  <si>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</si>
  <si>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</si>
  <si>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</si>
  <si>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</si>
  <si>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</si>
  <si>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</si>
  <si>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</si>
  <si>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</si>
  <si>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</si>
  <si>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</si>
  <si>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</si>
  <si>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</si>
  <si>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</si>
  <si>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</si>
  <si>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</si>
  <si>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</si>
  <si>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</si>
  <si>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</si>
  <si>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</si>
  <si>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</si>
  <si>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</si>
  <si>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</si>
  <si>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</si>
  <si>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</si>
  <si>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</si>
  <si>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</si>
  <si>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</si>
  <si>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</si>
  <si>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</si>
  <si>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</si>
  <si>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</si>
  <si>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</si>
  <si>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</si>
  <si>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</si>
  <si>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</si>
  <si>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</si>
  <si>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</si>
  <si>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</si>
  <si>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</si>
  <si>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</si>
  <si>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</si>
  <si>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</si>
  <si>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</si>
  <si>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</si>
  <si>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</si>
  <si>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</si>
  <si>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</si>
  <si>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</si>
  <si>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</si>
  <si>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</si>
  <si>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</si>
  <si>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</si>
  <si>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</si>
  <si>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</si>
  <si>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</si>
  <si>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</si>
  <si>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</si>
  <si>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</si>
  <si>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</si>
  <si>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</si>
  <si>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</si>
  <si>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</si>
  <si>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</si>
  <si>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</si>
  <si>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</si>
  <si>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</si>
  <si>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</si>
  <si>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</si>
  <si>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</si>
  <si>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</si>
  <si>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</si>
  <si>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</si>
  <si>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</si>
  <si>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</si>
  <si>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</si>
  <si>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</si>
  <si>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</si>
  <si>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</si>
  <si>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</si>
  <si>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</si>
  <si>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</si>
  <si>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</si>
  <si>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</si>
  <si>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</si>
  <si>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</si>
  <si>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</si>
  <si>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</si>
  <si>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</si>
  <si>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</si>
  <si>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</si>
  <si>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</si>
  <si>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</si>
  <si>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</si>
  <si>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</si>
  <si>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</si>
  <si>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</si>
  <si>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</si>
  <si>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</si>
  <si>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</si>
  <si>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</si>
  <si>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</si>
  <si>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</si>
  <si>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</si>
  <si>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</si>
  <si>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</si>
  <si>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</si>
  <si>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</si>
  <si>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</si>
  <si>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</si>
  <si>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</si>
  <si>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</si>
  <si>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</si>
  <si>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</si>
  <si>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</si>
  <si>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</si>
  <si>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</si>
  <si>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</si>
  <si>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</si>
  <si>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</si>
  <si>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</si>
  <si>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</si>
  <si>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</si>
  <si>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</si>
  <si>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</si>
  <si>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</si>
  <si>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</si>
  <si>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</si>
  <si>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</si>
  <si>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</si>
  <si>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</si>
  <si>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</si>
  <si>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</si>
  <si>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</si>
  <si>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</si>
  <si>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</si>
  <si>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</si>
  <si>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</si>
  <si>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</si>
  <si>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</si>
  <si>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</si>
  <si>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</si>
  <si>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</si>
  <si>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</si>
  <si>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</si>
  <si>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</si>
  <si>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</si>
  <si>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</si>
  <si>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</si>
  <si>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</si>
  <si>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</si>
  <si>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</si>
  <si>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</si>
  <si>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</si>
  <si>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</si>
  <si>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</si>
  <si>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</si>
  <si>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</si>
  <si>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</si>
  <si>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</si>
  <si>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</si>
  <si>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</si>
  <si>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</si>
  <si>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</si>
  <si>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</si>
  <si>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</si>
  <si>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</si>
  <si>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</si>
  <si>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</si>
  <si>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</si>
  <si>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</si>
  <si>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</si>
  <si>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</si>
  <si>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</si>
  <si>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</si>
  <si>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</si>
  <si>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</si>
  <si>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</si>
  <si>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</si>
  <si>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</si>
  <si>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</si>
  <si>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</si>
  <si>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</si>
  <si>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</si>
  <si>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</si>
  <si>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</si>
  <si>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</si>
  <si>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</si>
  <si>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</si>
  <si>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</si>
  <si>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</si>
  <si>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</si>
  <si>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</si>
  <si>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</si>
  <si>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</si>
  <si>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</si>
  <si>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</si>
  <si>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</si>
  <si>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</si>
  <si>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</si>
  <si>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</si>
  <si>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</si>
  <si>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</si>
  <si>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</si>
  <si>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</si>
  <si>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</si>
  <si>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</si>
  <si>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</si>
  <si>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</si>
  <si>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</si>
  <si>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</si>
  <si>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</si>
  <si>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</si>
  <si>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</si>
  <si>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</si>
  <si>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</si>
  <si>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</si>
  <si>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</si>
  <si>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</si>
  <si>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</si>
  <si>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</si>
  <si>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</si>
  <si>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</si>
  <si>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</si>
  <si>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</si>
  <si>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</si>
  <si>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</si>
  <si>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</si>
  <si>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</si>
  <si>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</si>
  <si>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</si>
  <si>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</si>
  <si>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</si>
  <si>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</si>
  <si>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</si>
  <si>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</si>
  <si>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</si>
  <si>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</si>
  <si>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</si>
  <si>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</si>
  <si>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</si>
  <si>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</si>
  <si>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</si>
  <si>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</si>
  <si>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</si>
  <si>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</si>
  <si>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</si>
  <si>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</si>
  <si>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</si>
  <si>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</si>
  <si>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</si>
  <si>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</si>
  <si>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</si>
  <si>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</si>
  <si>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</si>
  <si>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</si>
  <si>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</si>
  <si>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</si>
  <si>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</si>
  <si>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</si>
  <si>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</si>
  <si>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</si>
  <si>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</si>
  <si>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</si>
  <si>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</si>
  <si>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</si>
  <si>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</si>
  <si>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</si>
  <si>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</si>
  <si>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</si>
  <si>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</si>
  <si>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</si>
  <si>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</si>
  <si>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</si>
  <si>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</si>
  <si>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</si>
  <si>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</si>
  <si>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</si>
  <si>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</si>
  <si>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</si>
  <si>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</si>
  <si>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</si>
  <si>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</si>
  <si>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</si>
  <si>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</si>
  <si>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</si>
  <si>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</si>
  <si>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</si>
  <si>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</si>
  <si>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</si>
  <si>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</si>
  <si>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</si>
  <si>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</si>
  <si>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</si>
  <si>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</si>
  <si>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</si>
  <si>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</si>
  <si>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</si>
  <si>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</si>
  <si>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</si>
  <si>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</si>
  <si>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</si>
  <si>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</si>
  <si>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</si>
  <si>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</si>
  <si>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</si>
  <si>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</si>
  <si>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</si>
  <si>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</si>
  <si>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</si>
  <si>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</si>
  <si>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</si>
  <si>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</si>
  <si>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</si>
  <si>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</si>
  <si>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</si>
  <si>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</si>
  <si>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</si>
  <si>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</si>
  <si>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</si>
  <si>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</si>
  <si>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</si>
  <si>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</si>
  <si>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</si>
  <si>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</si>
  <si>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</si>
  <si>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</si>
  <si>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</si>
  <si>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</si>
  <si>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</si>
  <si>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</si>
  <si>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</si>
  <si>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</si>
  <si>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</si>
  <si>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</si>
  <si>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</si>
  <si>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</si>
  <si>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</si>
  <si>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</si>
  <si>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</si>
  <si>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</si>
  <si>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</si>
  <si>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</si>
  <si>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</si>
  <si>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</si>
  <si>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</si>
  <si>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</si>
  <si>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</si>
  <si>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</si>
  <si>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</si>
  <si>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</si>
  <si>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</si>
  <si>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</si>
  <si>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</si>
  <si>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</si>
  <si>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</si>
  <si>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</si>
  <si>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</si>
  <si>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</si>
  <si>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</si>
  <si>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</si>
  <si>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</si>
  <si>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</si>
  <si>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</si>
  <si>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</si>
  <si>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</si>
  <si>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</si>
  <si>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</si>
  <si>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</si>
  <si>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</si>
  <si>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</si>
  <si>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</si>
  <si>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</si>
  <si>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</si>
  <si>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</si>
  <si>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</si>
  <si>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</si>
  <si>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</si>
  <si>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</si>
  <si>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</si>
  <si>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</si>
  <si>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</si>
  <si>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</si>
  <si>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</si>
  <si>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</si>
  <si>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</si>
  <si>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</si>
  <si>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</si>
  <si>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</si>
  <si>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</si>
  <si>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</si>
  <si>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</si>
  <si>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</si>
  <si>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</si>
  <si>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</si>
  <si>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</si>
  <si>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</si>
  <si>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</si>
  <si>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</si>
  <si>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</si>
  <si>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</si>
  <si>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</si>
  <si>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</si>
  <si>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</si>
  <si>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</si>
  <si>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</si>
  <si>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</si>
  <si>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</si>
  <si>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</si>
  <si>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</si>
  <si>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</si>
  <si>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</si>
  <si>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</si>
  <si>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</si>
  <si>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</si>
  <si>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</si>
  <si>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</si>
  <si>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</si>
  <si>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</si>
  <si>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</si>
  <si>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</si>
  <si>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</si>
  <si>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</si>
  <si>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</si>
  <si>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</si>
  <si>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</si>
  <si>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</si>
  <si>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</si>
  <si>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</si>
  <si>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</si>
  <si>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</si>
  <si>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</si>
  <si>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</si>
  <si>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</si>
  <si>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</si>
  <si>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</si>
  <si>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</si>
  <si>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</si>
  <si>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</si>
  <si>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</si>
  <si>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</si>
  <si>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</si>
  <si>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</si>
  <si>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</si>
  <si>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</si>
  <si>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</si>
  <si>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</si>
  <si>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</si>
  <si>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</si>
  <si>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</si>
  <si>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</si>
  <si>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</si>
  <si>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</si>
  <si>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</si>
  <si>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</si>
  <si>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</si>
  <si>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</si>
  <si>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</si>
  <si>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</si>
  <si>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</si>
  <si>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</si>
  <si>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</si>
  <si>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</si>
  <si>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</si>
  <si>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</si>
  <si>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</si>
  <si>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</si>
  <si>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</si>
  <si>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</si>
  <si>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</si>
  <si>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</si>
  <si>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</si>
  <si>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</si>
  <si>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</si>
  <si>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</si>
  <si>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</si>
  <si>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</si>
  <si>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</si>
  <si>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</si>
  <si>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</si>
  <si>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</si>
  <si>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</si>
  <si>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</si>
  <si>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</si>
  <si>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</si>
  <si>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</si>
  <si>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</si>
  <si>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</si>
  <si>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</si>
  <si>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</si>
  <si>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</si>
  <si>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</si>
  <si>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</si>
  <si>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</si>
  <si>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</si>
  <si>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</si>
  <si>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</si>
  <si>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</si>
  <si>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</si>
  <si>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</si>
  <si>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</si>
  <si>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</si>
  <si>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</si>
  <si>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</si>
  <si>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</si>
  <si>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</si>
  <si>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</si>
  <si>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</si>
  <si>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</si>
  <si>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</si>
  <si>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</si>
  <si>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</si>
  <si>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</si>
  <si>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</si>
  <si>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</si>
  <si>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</si>
  <si>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</si>
  <si>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</si>
  <si>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</si>
  <si>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</si>
  <si>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</si>
  <si>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</si>
  <si>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</si>
  <si>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</si>
  <si>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</si>
  <si>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</si>
  <si>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</si>
  <si>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</si>
  <si>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</si>
  <si>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</si>
  <si>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</si>
  <si>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</si>
  <si>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</si>
  <si>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</si>
  <si>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</si>
  <si>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</si>
  <si>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</si>
  <si>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</si>
  <si>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</si>
  <si>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</si>
  <si>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</si>
  <si>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</si>
  <si>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</si>
  <si>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</si>
  <si>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</si>
  <si>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</si>
  <si>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</si>
  <si>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</si>
  <si>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</si>
  <si>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</si>
  <si>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</si>
  <si>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</si>
  <si>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</si>
  <si>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</si>
  <si>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</si>
  <si>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</si>
  <si>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</si>
  <si>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</si>
  <si>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</si>
  <si>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</si>
  <si>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</si>
  <si>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</si>
  <si>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</si>
  <si>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</si>
  <si>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</si>
  <si>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</si>
  <si>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</si>
  <si>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</si>
  <si>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</si>
  <si>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</si>
  <si>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</si>
  <si>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</si>
  <si>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</si>
  <si>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</si>
  <si>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</si>
  <si>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</si>
  <si>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</si>
  <si>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</si>
  <si>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</si>
  <si>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</si>
  <si>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</si>
  <si>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</si>
  <si>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</si>
  <si>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</si>
  <si>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</si>
  <si>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</si>
  <si>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</si>
  <si>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</si>
  <si>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</si>
  <si>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</si>
  <si>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</si>
  <si>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</si>
  <si>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</si>
  <si>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</si>
  <si>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</si>
  <si>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</si>
  <si>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</si>
  <si>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</si>
  <si>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</si>
  <si>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</si>
  <si>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</si>
  <si>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</si>
  <si>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</si>
  <si>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</si>
  <si>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</si>
  <si>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</si>
  <si>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</si>
  <si>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</si>
  <si>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</si>
  <si>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</si>
  <si>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</si>
  <si>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</si>
  <si>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</si>
  <si>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</si>
  <si>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</si>
  <si>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</si>
  <si>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</si>
  <si>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</si>
  <si>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</si>
  <si>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</si>
  <si>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</si>
  <si>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</si>
  <si>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</si>
  <si>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</si>
  <si>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</si>
  <si>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</si>
  <si>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</si>
  <si>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</si>
  <si>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</si>
  <si>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</si>
  <si>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</si>
  <si>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</si>
  <si>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</si>
  <si>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</si>
  <si>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</si>
  <si>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</si>
  <si>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</si>
  <si>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</si>
  <si>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</si>
  <si>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</si>
  <si>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</si>
  <si>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</si>
  <si>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</si>
  <si>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</si>
  <si>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</si>
  <si>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</si>
  <si>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</si>
  <si>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</si>
  <si>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</si>
  <si>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</si>
  <si>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</si>
  <si>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</si>
  <si>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</si>
  <si>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</si>
  <si>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</si>
  <si>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</si>
  <si>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</si>
  <si>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</si>
  <si>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</si>
  <si>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</si>
  <si>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</si>
  <si>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</si>
  <si>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</si>
  <si>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</si>
  <si>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</si>
  <si>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</si>
  <si>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</si>
  <si>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</si>
  <si>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</si>
  <si>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</si>
  <si>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</si>
  <si>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</si>
  <si>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</si>
  <si>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</si>
  <si>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</si>
  <si>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</si>
  <si>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</si>
  <si>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</si>
  <si>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</si>
  <si>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</si>
  <si>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</si>
  <si>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</si>
  <si>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</si>
  <si>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</si>
  <si>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</si>
  <si>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</si>
  <si>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</si>
  <si>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</si>
  <si>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</si>
  <si>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</si>
  <si>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</si>
  <si>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</si>
  <si>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</si>
  <si>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</si>
  <si>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</si>
  <si>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</si>
  <si>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</si>
  <si>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</si>
  <si>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</si>
  <si>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</si>
  <si>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</si>
  <si>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</si>
  <si>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</si>
  <si>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</si>
  <si>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</si>
  <si>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</si>
  <si>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</si>
  <si>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</si>
  <si>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</si>
  <si>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</si>
  <si>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</si>
  <si>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</si>
  <si>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</si>
  <si>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</si>
  <si>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</si>
  <si>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</si>
  <si>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</si>
  <si>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</si>
  <si>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</si>
  <si>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</si>
  <si>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</si>
  <si>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</si>
  <si>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</si>
  <si>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</si>
  <si>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</si>
  <si>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</si>
  <si>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</si>
  <si>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</si>
  <si>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</si>
  <si>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</si>
  <si>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</si>
  <si>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</si>
  <si>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</si>
  <si>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</si>
  <si>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</si>
  <si>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</si>
  <si>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</si>
  <si>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</si>
  <si>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</si>
  <si>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</si>
  <si>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</si>
  <si>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</si>
  <si>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</si>
  <si>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</si>
  <si>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</si>
  <si>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</si>
  <si>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</si>
  <si>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</si>
  <si>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</si>
  <si>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</si>
  <si>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</si>
  <si>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</si>
  <si>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</si>
  <si>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</si>
  <si>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</si>
  <si>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</si>
  <si>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</si>
  <si>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</si>
  <si>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</si>
  <si>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</si>
  <si>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</si>
  <si>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</si>
  <si>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</si>
  <si>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</si>
  <si>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</si>
  <si>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</si>
  <si>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</si>
  <si>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</si>
  <si>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</si>
  <si>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</si>
  <si>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</si>
  <si>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</si>
  <si>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</si>
  <si>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</si>
  <si>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</si>
  <si>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</si>
  <si>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</si>
  <si>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</si>
  <si>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</si>
  <si>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</si>
  <si>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</si>
  <si>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</si>
  <si>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</si>
  <si>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</si>
  <si>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</si>
  <si>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</si>
  <si>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</si>
  <si>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</si>
  <si>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</si>
  <si>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</si>
  <si>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</si>
  <si>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</si>
  <si>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</si>
  <si>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</si>
  <si>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</si>
  <si>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</si>
  <si>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</si>
  <si>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</si>
  <si>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</si>
  <si>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</si>
  <si>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</si>
  <si>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</si>
  <si>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</si>
  <si>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</si>
  <si>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</si>
  <si>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</si>
  <si>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</si>
  <si>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</si>
  <si>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</si>
  <si>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</si>
  <si>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</si>
  <si>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</si>
  <si>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</si>
  <si>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</si>
  <si>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</si>
  <si>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</si>
  <si>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</si>
  <si>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</si>
  <si>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</si>
  <si>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</si>
  <si>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</si>
  <si>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</si>
  <si>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</si>
  <si>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</si>
  <si>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</si>
  <si>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</si>
  <si>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</si>
  <si>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</si>
  <si>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</si>
  <si>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</si>
  <si>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</si>
  <si>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</si>
  <si>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</si>
  <si>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</si>
  <si>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</si>
  <si>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</si>
  <si>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</si>
  <si>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</si>
  <si>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</si>
  <si>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</si>
  <si>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</si>
  <si>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</si>
  <si>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</si>
  <si>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</si>
  <si>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</si>
  <si>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</si>
  <si>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</si>
  <si>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</si>
  <si>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</si>
  <si>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</si>
  <si>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</si>
  <si>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</si>
  <si>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</si>
  <si>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</si>
  <si>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</si>
  <si>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</si>
  <si>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</si>
  <si>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</si>
  <si>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</si>
  <si>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</si>
  <si>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</si>
  <si>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</si>
  <si>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</si>
  <si>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</si>
  <si>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</si>
  <si>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</si>
  <si>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</si>
  <si>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</si>
  <si>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</si>
  <si>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</si>
  <si>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</si>
  <si>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</si>
  <si>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</si>
  <si>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</si>
  <si>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</si>
  <si>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</si>
  <si>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</si>
  <si>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</si>
  <si>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</si>
  <si>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</si>
  <si>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</si>
  <si>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</si>
  <si>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</si>
  <si>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</si>
  <si>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</si>
  <si>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</si>
  <si>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</si>
  <si>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</si>
  <si>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</si>
  <si>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</si>
  <si>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</si>
  <si>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</si>
  <si>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</si>
  <si>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</si>
  <si>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</si>
  <si>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</si>
  <si>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</si>
  <si>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</si>
  <si>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</si>
  <si>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</si>
  <si>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</si>
  <si>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</si>
  <si>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</si>
  <si>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</si>
  <si>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</si>
  <si>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</si>
  <si>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</si>
  <si>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</si>
  <si>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</si>
  <si>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</si>
  <si>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</si>
  <si>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</si>
  <si>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</si>
  <si>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</si>
  <si>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</si>
  <si>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</si>
  <si>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</si>
  <si>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</si>
  <si>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</si>
  <si>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</si>
  <si>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</si>
  <si>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</si>
  <si>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</si>
  <si>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</si>
  <si>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</si>
  <si>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</si>
  <si>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</si>
  <si>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</si>
  <si>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</si>
  <si>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</si>
  <si>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</si>
  <si>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</si>
  <si>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</si>
  <si>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</si>
  <si>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</si>
  <si>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</si>
  <si>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</si>
  <si>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</si>
  <si>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</si>
  <si>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</si>
  <si>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</si>
  <si>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</si>
  <si>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</si>
  <si>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</si>
  <si>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</si>
  <si>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</si>
  <si>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</si>
  <si>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</si>
  <si>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</si>
  <si>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</si>
  <si>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</si>
  <si>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</si>
  <si>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</si>
  <si>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</si>
  <si>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</si>
  <si>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</si>
  <si>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</si>
  <si>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</si>
  <si>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</si>
  <si>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</si>
  <si>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</si>
  <si>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</si>
  <si>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</si>
  <si>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</si>
  <si>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</si>
  <si>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</si>
  <si>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</si>
  <si>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</si>
  <si>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</si>
  <si>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</si>
  <si>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</si>
  <si>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</si>
  <si>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</si>
  <si>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</si>
  <si>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</si>
  <si>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</si>
  <si>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</si>
  <si>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</si>
  <si>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</si>
  <si>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</si>
  <si>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</si>
  <si>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</si>
  <si>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</si>
  <si>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</si>
  <si>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</si>
  <si>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</si>
  <si>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</si>
  <si>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</si>
  <si>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</si>
  <si>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</si>
  <si>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</si>
  <si>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</si>
  <si>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</si>
  <si>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</si>
  <si>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</si>
  <si>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</si>
  <si>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</si>
  <si>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</si>
  <si>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</si>
  <si>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</si>
  <si>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</si>
  <si>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</si>
  <si>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</si>
  <si>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</si>
  <si>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</si>
  <si>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</si>
  <si>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</si>
  <si>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</si>
  <si>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</si>
  <si>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</si>
  <si>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</si>
  <si>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</si>
  <si>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</si>
  <si>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</si>
  <si>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</si>
  <si>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</si>
  <si>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</si>
  <si>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</si>
  <si>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</si>
  <si>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</si>
  <si>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</si>
  <si>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</si>
  <si>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</si>
  <si>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</si>
  <si>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</si>
  <si>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</si>
  <si>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</si>
  <si>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</si>
  <si>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</si>
  <si>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</si>
  <si>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</si>
  <si>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</si>
  <si>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</si>
  <si>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</si>
  <si>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</si>
  <si>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</si>
  <si>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</si>
  <si>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</si>
  <si>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</si>
  <si>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</si>
  <si>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</si>
  <si>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</si>
  <si>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</si>
  <si>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</si>
  <si>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</si>
  <si>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</si>
  <si>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</si>
  <si>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</si>
  <si>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</si>
  <si>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</si>
  <si>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</si>
  <si>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</si>
  <si>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</si>
  <si>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</si>
  <si>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</si>
  <si>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</si>
  <si>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</si>
  <si>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</si>
  <si>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</si>
  <si>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</si>
  <si>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</si>
  <si>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</si>
  <si>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</si>
  <si>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</si>
  <si>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</si>
  <si>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</si>
  <si>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</si>
  <si>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</si>
  <si>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</si>
  <si>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</si>
  <si>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</si>
  <si>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</si>
  <si>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</si>
  <si>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</si>
  <si>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</si>
  <si>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</si>
  <si>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</si>
  <si>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</si>
  <si>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</si>
  <si>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</si>
  <si>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</si>
  <si>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</si>
  <si>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</si>
  <si>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</si>
  <si>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</si>
  <si>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</si>
  <si>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</si>
  <si>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</si>
  <si>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</si>
  <si>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</si>
  <si>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</si>
  <si>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</si>
  <si>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</si>
  <si>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</si>
  <si>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</si>
  <si>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</si>
  <si>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</si>
  <si>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</si>
  <si>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</si>
  <si>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</si>
  <si>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</si>
  <si>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</si>
  <si>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</si>
  <si>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</si>
  <si>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</si>
  <si>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</si>
  <si>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</si>
  <si>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</si>
  <si>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</si>
  <si>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</si>
  <si>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</si>
  <si>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</si>
  <si>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</si>
  <si>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</si>
  <si>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</si>
  <si>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</si>
  <si>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</si>
  <si>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</si>
  <si>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</si>
  <si>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</si>
  <si>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</si>
  <si>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</si>
  <si>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</si>
  <si>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</si>
  <si>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</si>
  <si>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</si>
  <si>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</si>
  <si>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</si>
  <si>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</si>
  <si>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</si>
  <si>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</si>
  <si>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</si>
  <si>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</si>
  <si>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</si>
  <si>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</si>
  <si>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</si>
  <si>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</si>
  <si>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</si>
  <si>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</si>
  <si>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</si>
  <si>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</si>
  <si>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</si>
  <si>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</si>
  <si>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</si>
  <si>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</si>
  <si>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</si>
  <si>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</si>
  <si>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</si>
  <si>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</si>
  <si>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</si>
  <si>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</si>
  <si>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</si>
  <si>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</si>
  <si>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</si>
  <si>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</si>
  <si>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</si>
  <si>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</si>
  <si>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</si>
  <si>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</si>
  <si>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</si>
  <si>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</si>
  <si>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</si>
  <si>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</si>
  <si>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</si>
  <si>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</si>
  <si>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</si>
  <si>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</si>
  <si>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</si>
  <si>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</si>
  <si>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</si>
  <si>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</si>
  <si>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</si>
  <si>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</si>
  <si>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</si>
  <si>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</si>
  <si>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</si>
  <si>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</si>
  <si>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</si>
  <si>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</si>
  <si>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</si>
  <si>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</si>
  <si>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</si>
  <si>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</si>
  <si>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</si>
  <si>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</si>
  <si>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</si>
  <si>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</si>
  <si>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</si>
  <si>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</si>
  <si>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</si>
  <si>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</si>
  <si>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</si>
  <si>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</si>
  <si>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</si>
  <si>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</si>
  <si>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</si>
  <si>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</si>
  <si>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</si>
  <si>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</si>
  <si>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</si>
  <si>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</si>
  <si>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</si>
  <si>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</si>
  <si>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</si>
  <si>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</si>
  <si>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</si>
  <si>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</si>
  <si>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</si>
  <si>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</si>
  <si>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</si>
  <si>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</si>
  <si>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</si>
  <si>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</si>
  <si>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</si>
  <si>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</si>
  <si>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</si>
  <si>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</si>
  <si>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</si>
  <si>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</si>
  <si>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</si>
  <si>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</si>
  <si>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</si>
  <si>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</si>
  <si>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</si>
  <si>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</si>
  <si>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</si>
  <si>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</si>
  <si>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</si>
  <si>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</si>
  <si>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</si>
  <si>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</si>
  <si>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</si>
  <si>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</si>
  <si>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</si>
  <si>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</si>
  <si>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</si>
  <si>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</si>
  <si>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</si>
  <si>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</si>
  <si>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</si>
  <si>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</si>
  <si>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</si>
  <si>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</si>
  <si>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</si>
  <si>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</si>
  <si>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</si>
  <si>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</si>
  <si>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</si>
  <si>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</si>
  <si>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</si>
  <si>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</si>
  <si>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</si>
  <si>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</si>
  <si>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</si>
  <si>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</si>
  <si>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</si>
  <si>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</si>
  <si>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</si>
  <si>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</si>
  <si>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</si>
  <si>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</si>
  <si>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</si>
  <si>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</si>
  <si>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</si>
  <si>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</si>
  <si>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</si>
  <si>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</si>
  <si>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</si>
  <si>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</si>
  <si>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</si>
  <si>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</si>
  <si>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</si>
  <si>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</si>
  <si>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</si>
  <si>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</si>
  <si>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</si>
  <si>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</si>
  <si>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</si>
  <si>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</si>
  <si>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</si>
  <si>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</si>
  <si>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</si>
  <si>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</si>
  <si>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</si>
  <si>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</si>
  <si>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</si>
  <si>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</si>
  <si>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</si>
  <si>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</si>
  <si>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</si>
  <si>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</si>
  <si>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</si>
  <si>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</si>
  <si>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</si>
  <si>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</si>
  <si>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</si>
  <si>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</si>
  <si>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</si>
  <si>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</si>
  <si>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</si>
  <si>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</si>
  <si>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</si>
  <si>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</si>
  <si>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</si>
  <si>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</si>
  <si>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</si>
  <si>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</si>
  <si>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</si>
  <si>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</si>
  <si>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</si>
  <si>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</si>
  <si>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</si>
  <si>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</si>
  <si>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</si>
  <si>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</si>
  <si>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</si>
  <si>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</si>
  <si>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</si>
  <si>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</si>
  <si>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</si>
  <si>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</si>
  <si>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</si>
  <si>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</si>
  <si>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</si>
  <si>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</si>
  <si>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</si>
  <si>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</si>
  <si>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</si>
  <si>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</si>
  <si>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</si>
  <si>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</si>
  <si>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</si>
  <si>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</si>
  <si>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</si>
  <si>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</si>
  <si>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</si>
  <si>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</si>
  <si>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</si>
  <si>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</si>
  <si>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</si>
  <si>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</si>
  <si>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</si>
  <si>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</si>
  <si>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</si>
  <si>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</si>
  <si>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</si>
  <si>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</si>
  <si>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</si>
  <si>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</si>
  <si>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</si>
  <si>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</si>
  <si>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</si>
  <si>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</si>
  <si>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</si>
  <si>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</si>
  <si>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</si>
  <si>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</si>
  <si>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</si>
  <si>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</si>
  <si>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</si>
  <si>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</si>
  <si>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</si>
  <si>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</si>
  <si>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</si>
  <si>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</si>
  <si>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</si>
  <si>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</si>
  <si>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</si>
  <si>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</si>
  <si>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</si>
  <si>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</si>
  <si>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</si>
  <si>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</si>
  <si>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</si>
  <si>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</si>
  <si>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</si>
  <si>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</si>
  <si>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</si>
  <si>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</si>
  <si>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</si>
  <si>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</si>
  <si>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</si>
  <si>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</si>
  <si>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</si>
  <si>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</si>
  <si>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</si>
  <si>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</si>
  <si>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</si>
  <si>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</si>
  <si>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</si>
  <si>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</si>
  <si>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</si>
  <si>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</si>
  <si>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</si>
  <si>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</si>
  <si>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</si>
  <si>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</si>
  <si>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</si>
  <si>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</si>
  <si>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</si>
  <si>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</si>
  <si>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</si>
  <si>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</si>
  <si>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</si>
  <si>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</si>
  <si>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</si>
  <si>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</si>
  <si>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</si>
  <si>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</si>
  <si>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</si>
  <si>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</si>
  <si>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</si>
  <si>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</si>
  <si>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</si>
  <si>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</si>
  <si>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</si>
  <si>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</si>
  <si>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</si>
  <si>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</si>
  <si>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</si>
  <si>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</si>
  <si>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</si>
  <si>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</si>
  <si>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</si>
  <si>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</si>
  <si>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</si>
  <si>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</si>
  <si>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</si>
  <si>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</si>
  <si>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</si>
  <si>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</si>
  <si>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</si>
  <si>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</si>
  <si>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</si>
  <si>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</si>
  <si>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</si>
  <si>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</si>
  <si>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</si>
  <si>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</si>
  <si>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</si>
  <si>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</si>
  <si>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</si>
  <si>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</si>
  <si>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</si>
  <si>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</si>
  <si>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</si>
  <si>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</si>
  <si>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</si>
  <si>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</si>
  <si>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</si>
  <si>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</si>
  <si>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</si>
  <si>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</si>
  <si>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</si>
  <si>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</si>
  <si>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</si>
  <si>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</si>
  <si>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</si>
  <si>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</si>
  <si>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</si>
  <si>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</si>
  <si>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</si>
  <si>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</si>
  <si>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</si>
  <si>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</si>
  <si>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</si>
  <si>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</si>
  <si>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</si>
  <si>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</si>
  <si>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</si>
  <si>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</si>
  <si>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</si>
  <si>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</si>
  <si>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</si>
  <si>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</si>
  <si>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</si>
  <si>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</si>
  <si>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</si>
  <si>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</si>
  <si>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</si>
  <si>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</si>
  <si>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</si>
  <si>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</si>
  <si>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</si>
  <si>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</si>
  <si>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</si>
  <si>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</si>
  <si>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</si>
  <si>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</si>
  <si>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</si>
  <si>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</si>
  <si>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</si>
  <si>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</si>
  <si>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</si>
  <si>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</si>
  <si>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</si>
  <si>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</si>
  <si>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</si>
  <si>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</si>
  <si>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</si>
  <si>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</si>
  <si>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</si>
  <si>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</si>
  <si>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</si>
  <si>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</si>
  <si>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</si>
  <si>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</si>
  <si>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</si>
  <si>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</si>
  <si>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</si>
  <si>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</si>
  <si>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</si>
  <si>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</si>
  <si>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</si>
  <si>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</si>
  <si>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</si>
  <si>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</si>
  <si>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</si>
  <si>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</si>
  <si>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</si>
  <si>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</si>
  <si>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</si>
  <si>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</si>
  <si>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</si>
  <si>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</si>
  <si>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</si>
  <si>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</si>
  <si>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</si>
  <si>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</si>
  <si>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</si>
  <si>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</si>
  <si>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</si>
  <si>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</si>
  <si>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</si>
  <si>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</si>
  <si>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</si>
  <si>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</si>
  <si>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</si>
  <si>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</si>
  <si>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</si>
  <si>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</si>
  <si>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</si>
  <si>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</si>
  <si>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</si>
  <si>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</si>
  <si>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</si>
  <si>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</si>
  <si>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</si>
  <si>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</si>
  <si>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Tim C. Custis, CPA</t>
  </si>
  <si>
    <t>tcustis@gorenzcpa.com</t>
  </si>
  <si>
    <t>LaSalle</t>
  </si>
  <si>
    <t>LaSalle-Peru Area Career Center</t>
  </si>
  <si>
    <t>900 Ninth Street</t>
  </si>
  <si>
    <t>Peru</t>
  </si>
  <si>
    <t>dmentgen@lphs.net</t>
  </si>
  <si>
    <t>Steve Wrobleski</t>
  </si>
  <si>
    <t>swrobleski@lphs.net</t>
  </si>
  <si>
    <t>815-223-1721</t>
  </si>
  <si>
    <t>815-223-3444</t>
  </si>
  <si>
    <t>x</t>
  </si>
  <si>
    <t>LaSalle-Peru High School No. 120</t>
  </si>
  <si>
    <t>There were no findings in the prior year ending June 30, 2017.</t>
  </si>
  <si>
    <t>The opinion is adverse due to the use of the Regulatory Basis of Accounting.</t>
  </si>
  <si>
    <t>Page 11, Line 106 - Class Supply Fees</t>
  </si>
  <si>
    <t>Page 13, Line 227 - Perkins Secondary from SRAVTE</t>
  </si>
  <si>
    <t>No contracts for the year ended June 30, 2018</t>
  </si>
  <si>
    <t>Page 29, Line 80 "PLEASE ENTER CONTRACTS PAID IN THE CURRENT YEAR"</t>
  </si>
  <si>
    <t>For the current fiscal year under audit the district did not have any qualifying contracts</t>
  </si>
  <si>
    <t>exceeding the $25,000 limit</t>
  </si>
  <si>
    <t>None</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</si>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</sst>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1">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0" t="s">
        <v>425</v>
      </c>
      <c r="J1" s="2031"/>
      <c r="K1" s="2031"/>
      <c r="L1" s="2031"/>
      <c r="M1" s="2031"/>
      <c r="N1" s="2031"/>
      <c r="O1" s="2031"/>
      <c r="P1" s="2031"/>
      <c r="Q1" s="2031"/>
      <c r="R1" s="2031"/>
      <c r="S1" s="2031"/>
    </row>
    <row r="2" spans="1:28" ht="12" customHeight="1" x14ac:dyDescent="0.2">
      <c r="A2" s="47" t="s">
        <v>1684</v>
      </c>
      <c r="D2" s="48"/>
      <c r="I2" s="2032" t="s">
        <v>1036</v>
      </c>
      <c r="J2" s="2031"/>
      <c r="K2" s="2031"/>
      <c r="L2" s="2031"/>
      <c r="M2" s="2031"/>
      <c r="N2" s="2031"/>
      <c r="O2" s="2031"/>
      <c r="P2" s="2031"/>
      <c r="Q2" s="2031"/>
      <c r="R2" s="2031"/>
      <c r="S2" s="2031"/>
    </row>
    <row r="3" spans="1:28" ht="12" customHeight="1" x14ac:dyDescent="0.2">
      <c r="A3" s="155" t="s">
        <v>1685</v>
      </c>
      <c r="B3" s="156"/>
      <c r="C3" s="156"/>
      <c r="D3" s="157"/>
      <c r="I3" s="2032" t="s">
        <v>54</v>
      </c>
      <c r="J3" s="2031"/>
      <c r="K3" s="2031"/>
      <c r="L3" s="2031"/>
      <c r="M3" s="2031"/>
      <c r="N3" s="2031"/>
      <c r="O3" s="2031"/>
      <c r="P3" s="2031"/>
      <c r="Q3" s="2031"/>
      <c r="R3" s="2031"/>
      <c r="S3" s="2031"/>
    </row>
    <row r="4" spans="1:28" ht="12" customHeight="1" x14ac:dyDescent="0.2">
      <c r="A4" s="37"/>
      <c r="I4" s="2032" t="s">
        <v>545</v>
      </c>
      <c r="J4" s="2031"/>
      <c r="K4" s="2031"/>
      <c r="L4" s="2031"/>
      <c r="M4" s="2031"/>
      <c r="N4" s="2031"/>
      <c r="O4" s="2031"/>
      <c r="P4" s="2031"/>
      <c r="Q4" s="2031"/>
      <c r="R4" s="2031"/>
      <c r="S4" s="2031"/>
    </row>
    <row r="5" spans="1:28" ht="14.1" customHeight="1" x14ac:dyDescent="0.2">
      <c r="B5" s="104"/>
      <c r="C5" s="26" t="s">
        <v>966</v>
      </c>
      <c r="D5" s="84"/>
      <c r="E5" s="84"/>
      <c r="H5" s="38"/>
      <c r="I5" s="2039" t="s">
        <v>701</v>
      </c>
      <c r="J5" s="1984"/>
      <c r="K5" s="1984"/>
      <c r="L5" s="1984"/>
      <c r="M5" s="1984"/>
      <c r="N5" s="1984"/>
      <c r="O5" s="1984"/>
      <c r="P5" s="1984"/>
      <c r="Q5" s="1984"/>
      <c r="R5" s="1984"/>
      <c r="S5" s="1984"/>
    </row>
    <row r="6" spans="1:28" ht="14.1" customHeight="1" x14ac:dyDescent="0.2">
      <c r="B6" s="104" t="s">
        <v>2076</v>
      </c>
      <c r="C6" s="26" t="s">
        <v>967</v>
      </c>
      <c r="D6" s="84"/>
      <c r="E6" s="84"/>
      <c r="I6" s="2038" t="s">
        <v>938</v>
      </c>
      <c r="J6" s="1984"/>
      <c r="K6" s="1984"/>
      <c r="L6" s="1984"/>
      <c r="M6" s="1984"/>
      <c r="N6" s="1984"/>
      <c r="O6" s="1984"/>
      <c r="P6" s="1984"/>
      <c r="Q6" s="1984"/>
      <c r="R6" s="1984"/>
      <c r="S6" s="1984"/>
    </row>
    <row r="7" spans="1:28" ht="12.2" customHeight="1" x14ac:dyDescent="0.2">
      <c r="I7" s="2033">
        <v>43281</v>
      </c>
      <c r="J7" s="2034"/>
      <c r="K7" s="2034"/>
      <c r="L7" s="2034"/>
      <c r="M7" s="2034"/>
      <c r="N7" s="2034"/>
      <c r="O7" s="2034"/>
      <c r="P7" s="2034"/>
      <c r="Q7" s="2034"/>
      <c r="R7" s="2034"/>
      <c r="S7" s="203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5" t="s">
        <v>695</v>
      </c>
      <c r="J9" s="2036"/>
      <c r="K9" s="2036"/>
      <c r="L9" s="2036"/>
      <c r="M9" s="2036"/>
      <c r="N9" s="2036"/>
      <c r="O9" s="2036"/>
      <c r="P9" s="2036"/>
      <c r="Q9" s="2036"/>
      <c r="R9" s="2036"/>
      <c r="S9" s="2037"/>
      <c r="T9" s="1980" t="s">
        <v>554</v>
      </c>
      <c r="U9" s="1981"/>
      <c r="V9" s="1981"/>
      <c r="W9" s="1981"/>
      <c r="X9" s="1981"/>
      <c r="Y9" s="1981"/>
      <c r="Z9" s="1981"/>
      <c r="AA9" s="1982"/>
    </row>
    <row r="10" spans="1:28" ht="13.5" customHeight="1" x14ac:dyDescent="0.2">
      <c r="A10" s="1989" t="s">
        <v>696</v>
      </c>
      <c r="B10" s="1990"/>
      <c r="C10" s="1990"/>
      <c r="D10" s="1990"/>
      <c r="E10" s="1990"/>
      <c r="F10" s="1990"/>
      <c r="G10" s="1990"/>
      <c r="H10" s="1991"/>
      <c r="I10" s="29"/>
      <c r="J10" s="30"/>
      <c r="K10" s="28"/>
      <c r="R10" s="30"/>
      <c r="S10" s="30"/>
      <c r="T10" s="1983"/>
      <c r="U10" s="1984"/>
      <c r="V10" s="1984"/>
      <c r="W10" s="1984"/>
      <c r="X10" s="1984"/>
      <c r="Y10" s="1984"/>
      <c r="Z10" s="1984"/>
      <c r="AA10" s="1985"/>
    </row>
    <row r="11" spans="1:28" ht="14.25" customHeight="1" x14ac:dyDescent="0.2">
      <c r="A11" s="1992" t="s">
        <v>1012</v>
      </c>
      <c r="B11" s="1993"/>
      <c r="C11" s="1993"/>
      <c r="D11" s="1993"/>
      <c r="E11" s="1993"/>
      <c r="F11" s="1993"/>
      <c r="G11" s="1993"/>
      <c r="H11" s="1994"/>
      <c r="I11" s="27"/>
      <c r="J11" s="74"/>
      <c r="K11" s="27"/>
      <c r="O11" s="148" t="s">
        <v>2076</v>
      </c>
      <c r="P11" s="100" t="s">
        <v>210</v>
      </c>
      <c r="Q11" s="30"/>
      <c r="R11" s="28"/>
      <c r="S11" s="27"/>
      <c r="T11" s="1986"/>
      <c r="U11" s="1987"/>
      <c r="V11" s="1987"/>
      <c r="W11" s="1987"/>
      <c r="X11" s="1987"/>
      <c r="Y11" s="1987"/>
      <c r="Z11" s="1987"/>
      <c r="AA11" s="1988"/>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0">
        <v>35050120040</v>
      </c>
      <c r="B13" s="2001"/>
      <c r="C13" s="2001"/>
      <c r="D13" s="2001"/>
      <c r="E13" s="2001"/>
      <c r="F13" s="2001"/>
      <c r="G13" s="2001"/>
      <c r="H13" s="2002"/>
      <c r="I13" s="31"/>
      <c r="J13" s="30"/>
      <c r="K13" s="28"/>
      <c r="L13" s="30"/>
      <c r="M13" s="30"/>
      <c r="N13" s="30"/>
      <c r="O13" s="30"/>
      <c r="P13" s="30"/>
      <c r="Q13" s="30"/>
      <c r="R13" s="30"/>
      <c r="S13" s="30"/>
      <c r="T13" s="2005" t="s">
        <v>2077</v>
      </c>
      <c r="U13" s="2006"/>
      <c r="V13" s="2006"/>
      <c r="W13" s="2006"/>
      <c r="X13" s="2006"/>
      <c r="Y13" s="2007"/>
      <c r="Z13" s="2007"/>
      <c r="AA13" s="20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1998" t="s">
        <v>2087</v>
      </c>
      <c r="B15" s="2003"/>
      <c r="C15" s="2003"/>
      <c r="D15" s="2003"/>
      <c r="E15" s="2003"/>
      <c r="F15" s="2003"/>
      <c r="G15" s="2003"/>
      <c r="H15" s="2004"/>
      <c r="T15" s="1966" t="s">
        <v>2085</v>
      </c>
      <c r="U15" s="1967"/>
      <c r="V15" s="1967"/>
      <c r="W15" s="1967"/>
      <c r="X15" s="1967"/>
      <c r="Y15" s="2009"/>
      <c r="Z15" s="2009"/>
      <c r="AA15" s="2010"/>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58" t="s">
        <v>2088</v>
      </c>
      <c r="B17" s="2028"/>
      <c r="C17" s="2028"/>
      <c r="D17" s="2028"/>
      <c r="E17" s="2028"/>
      <c r="F17" s="2028"/>
      <c r="G17" s="2028"/>
      <c r="H17" s="2029"/>
      <c r="T17" s="2015" t="s">
        <v>2078</v>
      </c>
      <c r="U17" s="2016"/>
      <c r="V17" s="2016"/>
      <c r="W17" s="2016"/>
      <c r="X17" s="2016"/>
      <c r="Y17" s="2016"/>
      <c r="Z17" s="2016"/>
      <c r="AA17" s="2017"/>
    </row>
    <row r="18" spans="1:27" ht="13.5" customHeight="1" x14ac:dyDescent="0.2">
      <c r="A18" s="85" t="s">
        <v>551</v>
      </c>
      <c r="B18" s="76"/>
      <c r="C18" s="72"/>
      <c r="D18" s="76"/>
      <c r="E18" s="76"/>
      <c r="F18" s="76"/>
      <c r="G18" s="76"/>
      <c r="H18" s="56"/>
      <c r="I18" s="2025" t="s">
        <v>697</v>
      </c>
      <c r="J18" s="2026"/>
      <c r="K18" s="2026"/>
      <c r="L18" s="2026"/>
      <c r="M18" s="2026"/>
      <c r="N18" s="2026"/>
      <c r="O18" s="2026"/>
      <c r="P18" s="2026"/>
      <c r="Q18" s="2026"/>
      <c r="R18" s="2026"/>
      <c r="S18" s="2027"/>
      <c r="T18" s="85" t="s">
        <v>735</v>
      </c>
      <c r="U18" s="51"/>
      <c r="V18" s="72"/>
      <c r="W18" s="50"/>
      <c r="X18" s="85" t="s">
        <v>284</v>
      </c>
      <c r="Y18" s="81"/>
      <c r="Z18" s="159" t="s">
        <v>698</v>
      </c>
      <c r="AA18" s="46"/>
    </row>
    <row r="19" spans="1:27" ht="13.5" customHeight="1" x14ac:dyDescent="0.2">
      <c r="A19" s="1998" t="s">
        <v>2089</v>
      </c>
      <c r="B19" s="1999"/>
      <c r="C19" s="1999"/>
      <c r="D19" s="1999"/>
      <c r="E19" s="1999"/>
      <c r="F19" s="1999"/>
      <c r="G19" s="1999"/>
      <c r="H19" s="1997"/>
      <c r="I19" s="30"/>
      <c r="J19" s="99"/>
      <c r="K19" s="40"/>
      <c r="L19" s="38"/>
      <c r="M19" s="112" t="s">
        <v>333</v>
      </c>
      <c r="P19" s="27"/>
      <c r="Q19" s="27"/>
      <c r="R19" s="27"/>
      <c r="S19" s="31"/>
      <c r="T19" s="1998" t="s">
        <v>2079</v>
      </c>
      <c r="U19" s="1996"/>
      <c r="V19" s="1996"/>
      <c r="W19" s="1997"/>
      <c r="X19" s="2013" t="s">
        <v>2080</v>
      </c>
      <c r="Y19" s="2014"/>
      <c r="Z19" s="2011">
        <v>61614</v>
      </c>
      <c r="AA19" s="2012"/>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5" t="s">
        <v>2090</v>
      </c>
      <c r="B21" s="1996"/>
      <c r="C21" s="1996"/>
      <c r="D21" s="1996"/>
      <c r="E21" s="1996"/>
      <c r="F21" s="1996"/>
      <c r="G21" s="1996"/>
      <c r="H21" s="1997"/>
      <c r="I21" s="2021" t="s">
        <v>699</v>
      </c>
      <c r="J21" s="1984"/>
      <c r="K21" s="1984"/>
      <c r="L21" s="1984"/>
      <c r="M21" s="1984"/>
      <c r="N21" s="1984"/>
      <c r="O21" s="1984"/>
      <c r="P21" s="1984"/>
      <c r="Q21" s="1984"/>
      <c r="R21" s="1984"/>
      <c r="S21" s="1985"/>
      <c r="T21" s="1963" t="s">
        <v>2081</v>
      </c>
      <c r="U21" s="1964"/>
      <c r="V21" s="1964"/>
      <c r="W21" s="1964"/>
      <c r="X21" s="1977" t="s">
        <v>2082</v>
      </c>
      <c r="Y21" s="1978"/>
      <c r="Z21" s="1978"/>
      <c r="AA21" s="1979"/>
    </row>
    <row r="22" spans="1:27" ht="13.5" customHeight="1" x14ac:dyDescent="0.2">
      <c r="A22" s="87" t="s">
        <v>552</v>
      </c>
      <c r="B22" s="59"/>
      <c r="C22" s="59"/>
      <c r="D22" s="59"/>
      <c r="E22" s="59"/>
      <c r="F22" s="59"/>
      <c r="G22" s="59"/>
      <c r="H22" s="60"/>
      <c r="I22" s="2022" t="s">
        <v>1504</v>
      </c>
      <c r="J22" s="2023"/>
      <c r="K22" s="2023"/>
      <c r="L22" s="2023"/>
      <c r="M22" s="2023"/>
      <c r="N22" s="2023"/>
      <c r="O22" s="2023"/>
      <c r="P22" s="2023"/>
      <c r="Q22" s="2023"/>
      <c r="R22" s="2023"/>
      <c r="S22" s="2024"/>
      <c r="T22" s="85" t="s">
        <v>1596</v>
      </c>
      <c r="U22" s="51"/>
      <c r="V22" s="72"/>
      <c r="W22" s="51"/>
      <c r="X22" s="160" t="s">
        <v>1385</v>
      </c>
      <c r="Z22" s="45"/>
      <c r="AA22" s="46"/>
    </row>
    <row r="23" spans="1:27" ht="13.5" customHeight="1" x14ac:dyDescent="0.2">
      <c r="A23" s="2018" t="s">
        <v>2091</v>
      </c>
      <c r="B23" s="2019"/>
      <c r="C23" s="2019"/>
      <c r="D23" s="2019"/>
      <c r="E23" s="2019"/>
      <c r="F23" s="2019"/>
      <c r="G23" s="2019"/>
      <c r="H23" s="2020"/>
      <c r="T23" s="1958" t="s">
        <v>2107</v>
      </c>
      <c r="U23" s="1959"/>
      <c r="V23" s="1959"/>
      <c r="W23" s="1959"/>
      <c r="X23" s="1974">
        <v>44530</v>
      </c>
      <c r="Y23" s="1975"/>
      <c r="Z23" s="1975"/>
      <c r="AA23" s="1976"/>
    </row>
    <row r="24" spans="1:27" ht="14.1" customHeight="1" x14ac:dyDescent="0.2">
      <c r="A24" s="88" t="s">
        <v>698</v>
      </c>
      <c r="B24" s="49"/>
      <c r="C24" s="49"/>
      <c r="D24" s="49"/>
      <c r="E24" s="49"/>
      <c r="F24" s="49"/>
      <c r="G24" s="49"/>
      <c r="H24" s="61"/>
      <c r="J24" s="2060" t="str">
        <f>IF(B5="x",IF(AUDITCHECK!D29="AFR form Incomplete.","",IF(AUDITCHECK!D29="Deficit reduction plan is required.","School District must complete a deficit reduction plan in the 2018-2019 Budget",)),"")</f>
        <v/>
      </c>
      <c r="K24" s="2060"/>
      <c r="L24" s="2060"/>
      <c r="M24" s="2060"/>
      <c r="N24" s="2060"/>
      <c r="O24" s="2060"/>
      <c r="P24" s="2060"/>
      <c r="Q24" s="2060"/>
      <c r="R24" s="2060"/>
      <c r="S24" s="2061"/>
      <c r="T24" s="105" t="s">
        <v>552</v>
      </c>
      <c r="U24" s="106"/>
      <c r="V24" s="106"/>
      <c r="W24" s="106"/>
      <c r="X24" s="107"/>
      <c r="Y24" s="107"/>
      <c r="Z24" s="107"/>
      <c r="AA24" s="108"/>
    </row>
    <row r="25" spans="1:27" ht="14.1" customHeight="1" x14ac:dyDescent="0.2">
      <c r="A25" s="1995">
        <v>61354</v>
      </c>
      <c r="B25" s="1996"/>
      <c r="C25" s="1996"/>
      <c r="D25" s="1996"/>
      <c r="E25" s="1996"/>
      <c r="F25" s="1996"/>
      <c r="G25" s="1996"/>
      <c r="H25" s="1997"/>
      <c r="I25" s="113"/>
      <c r="J25" s="2062"/>
      <c r="K25" s="2062"/>
      <c r="L25" s="2062"/>
      <c r="M25" s="2062"/>
      <c r="N25" s="2062"/>
      <c r="O25" s="2062"/>
      <c r="P25" s="2062"/>
      <c r="Q25" s="2062"/>
      <c r="R25" s="2062"/>
      <c r="S25" s="2063"/>
      <c r="T25" s="1955" t="s">
        <v>2086</v>
      </c>
      <c r="U25" s="1956"/>
      <c r="V25" s="1956"/>
      <c r="W25" s="1956"/>
      <c r="X25" s="1956"/>
      <c r="Y25" s="1956"/>
      <c r="Z25" s="1956"/>
      <c r="AA25" s="195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3" t="s">
        <v>1591</v>
      </c>
      <c r="J27" s="2026"/>
      <c r="K27" s="2026"/>
      <c r="L27" s="2026"/>
      <c r="M27" s="2026"/>
      <c r="N27" s="2026"/>
      <c r="O27" s="2026"/>
      <c r="P27" s="2026"/>
      <c r="Q27" s="2026"/>
      <c r="R27" s="2026"/>
      <c r="S27" s="2027"/>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2076</v>
      </c>
      <c r="M29" s="40" t="s">
        <v>101</v>
      </c>
      <c r="N29" s="32" t="s">
        <v>1604</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9"/>
      <c r="Q35" s="1996"/>
      <c r="R35" s="199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58" t="s">
        <v>2092</v>
      </c>
      <c r="B38" s="2028"/>
      <c r="C38" s="2028"/>
      <c r="D38" s="2028"/>
      <c r="E38" s="2028"/>
      <c r="F38" s="1996"/>
      <c r="G38" s="1996"/>
      <c r="H38" s="1997"/>
      <c r="I38" s="2047"/>
      <c r="J38" s="1967"/>
      <c r="K38" s="1967"/>
      <c r="L38" s="1967"/>
      <c r="M38" s="1967"/>
      <c r="N38" s="1967"/>
      <c r="O38" s="1967"/>
      <c r="P38" s="1968"/>
      <c r="Q38" s="1968"/>
      <c r="R38" s="1968"/>
      <c r="S38" s="1969"/>
      <c r="T38" s="1966"/>
      <c r="U38" s="1967"/>
      <c r="V38" s="1967"/>
      <c r="W38" s="1967"/>
      <c r="X38" s="1968"/>
      <c r="Y38" s="1968"/>
      <c r="Z38" s="1968"/>
      <c r="AA38" s="1969"/>
    </row>
    <row r="39" spans="1:27" ht="12" customHeight="1" x14ac:dyDescent="0.2">
      <c r="A39" s="2051" t="s">
        <v>552</v>
      </c>
      <c r="B39" s="2052"/>
      <c r="C39" s="72"/>
      <c r="D39" s="69"/>
      <c r="E39" s="69"/>
      <c r="F39" s="79"/>
      <c r="G39" s="69"/>
      <c r="H39" s="56"/>
      <c r="I39" s="2051" t="s">
        <v>552</v>
      </c>
      <c r="J39" s="2052"/>
      <c r="K39" s="2052"/>
      <c r="L39" s="2052"/>
      <c r="M39" s="2052"/>
      <c r="N39" s="67"/>
      <c r="O39" s="72"/>
      <c r="P39" s="72"/>
      <c r="Q39" s="78"/>
      <c r="R39" s="72"/>
      <c r="S39" s="56"/>
      <c r="T39" s="72" t="s">
        <v>552</v>
      </c>
      <c r="U39" s="51"/>
      <c r="V39" s="72"/>
      <c r="W39" s="50"/>
      <c r="X39" s="78"/>
      <c r="Y39" s="45"/>
      <c r="Z39" s="45"/>
      <c r="AA39" s="46"/>
    </row>
    <row r="40" spans="1:27" ht="13.5" customHeight="1" x14ac:dyDescent="0.2">
      <c r="A40" s="2054" t="s">
        <v>2093</v>
      </c>
      <c r="B40" s="2055"/>
      <c r="C40" s="2056"/>
      <c r="D40" s="2056"/>
      <c r="E40" s="2056"/>
      <c r="F40" s="2057"/>
      <c r="G40" s="2057"/>
      <c r="H40" s="2058"/>
      <c r="I40" s="1970"/>
      <c r="J40" s="1972"/>
      <c r="K40" s="1972"/>
      <c r="L40" s="1972"/>
      <c r="M40" s="1972"/>
      <c r="N40" s="1972"/>
      <c r="O40" s="1972"/>
      <c r="P40" s="1972"/>
      <c r="Q40" s="1972"/>
      <c r="R40" s="1972"/>
      <c r="S40" s="1973"/>
      <c r="T40" s="1970"/>
      <c r="U40" s="1971"/>
      <c r="V40" s="1972"/>
      <c r="W40" s="1972"/>
      <c r="X40" s="1972"/>
      <c r="Y40" s="1972"/>
      <c r="Z40" s="1972"/>
      <c r="AA40" s="1973"/>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4" t="s">
        <v>2094</v>
      </c>
      <c r="B42" s="2045"/>
      <c r="C42" s="2046"/>
      <c r="D42" s="2059" t="s">
        <v>2095</v>
      </c>
      <c r="E42" s="2045"/>
      <c r="F42" s="2045"/>
      <c r="G42" s="2045"/>
      <c r="H42" s="2046"/>
      <c r="I42" s="1965"/>
      <c r="J42" s="1961"/>
      <c r="K42" s="1961"/>
      <c r="L42" s="1961"/>
      <c r="M42" s="1961"/>
      <c r="N42" s="1961"/>
      <c r="O42" s="1962"/>
      <c r="P42" s="1960"/>
      <c r="Q42" s="1961"/>
      <c r="R42" s="1961"/>
      <c r="S42" s="1962"/>
      <c r="T42" s="1965"/>
      <c r="U42" s="1961"/>
      <c r="V42" s="1961"/>
      <c r="W42" s="1962"/>
      <c r="X42" s="1960"/>
      <c r="Y42" s="1961"/>
      <c r="Z42" s="1961"/>
      <c r="AA42" s="1962"/>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48"/>
      <c r="B44" s="2049"/>
      <c r="C44" s="2049"/>
      <c r="D44" s="2049"/>
      <c r="E44" s="2049"/>
      <c r="F44" s="2049"/>
      <c r="G44" s="2049"/>
      <c r="H44" s="2050"/>
      <c r="I44" s="2040"/>
      <c r="J44" s="2042"/>
      <c r="K44" s="2042"/>
      <c r="L44" s="2042"/>
      <c r="M44" s="2042"/>
      <c r="N44" s="2042"/>
      <c r="O44" s="2042"/>
      <c r="P44" s="2042"/>
      <c r="Q44" s="2042"/>
      <c r="R44" s="2042"/>
      <c r="S44" s="2043"/>
      <c r="T44" s="2040"/>
      <c r="U44" s="2041"/>
      <c r="V44" s="2041"/>
      <c r="W44" s="2041"/>
      <c r="X44" s="2041"/>
      <c r="Y44" s="2041"/>
      <c r="Z44" s="2042"/>
      <c r="AA44" s="204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1708</v>
      </c>
    </row>
    <row r="22" spans="1:5" x14ac:dyDescent="0.2">
      <c r="A22" s="168"/>
      <c r="B22" s="162" t="s">
        <v>1967</v>
      </c>
      <c r="C22" s="162" t="s">
        <v>1231</v>
      </c>
      <c r="D22" s="167" t="s">
        <v>1969</v>
      </c>
      <c r="E22" s="1857" t="s">
        <v>1709</v>
      </c>
    </row>
    <row r="23" spans="1:5" x14ac:dyDescent="0.2">
      <c r="A23" s="168"/>
      <c r="B23" s="162" t="s">
        <v>1968</v>
      </c>
      <c r="D23" s="167" t="s">
        <v>658</v>
      </c>
      <c r="E23" s="1857" t="s">
        <v>1016</v>
      </c>
    </row>
    <row r="24" spans="1:5" x14ac:dyDescent="0.2">
      <c r="A24" s="168" t="s">
        <v>1707</v>
      </c>
      <c r="C24" s="162" t="s">
        <v>1231</v>
      </c>
      <c r="D24" s="167" t="s">
        <v>1460</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1433</v>
      </c>
    </row>
    <row r="29" spans="1:5" x14ac:dyDescent="0.2">
      <c r="A29" s="168" t="s">
        <v>1985</v>
      </c>
      <c r="D29" s="169" t="s">
        <v>1461</v>
      </c>
      <c r="E29" s="170" t="s">
        <v>1442</v>
      </c>
    </row>
    <row r="30" spans="1:5" x14ac:dyDescent="0.2">
      <c r="A30" s="173" t="s">
        <v>1986</v>
      </c>
      <c r="C30" s="162" t="s">
        <v>1231</v>
      </c>
      <c r="D30" s="169" t="s">
        <v>42</v>
      </c>
      <c r="E30" s="170" t="s">
        <v>1039</v>
      </c>
    </row>
    <row r="31" spans="1:5" x14ac:dyDescent="0.2">
      <c r="A31" s="168" t="s">
        <v>1602</v>
      </c>
      <c r="C31" s="162" t="s">
        <v>1231</v>
      </c>
      <c r="D31" s="167"/>
      <c r="E31" s="171"/>
    </row>
    <row r="32" spans="1:5" x14ac:dyDescent="0.2">
      <c r="B32" s="167" t="s">
        <v>1987</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7" t="s">
        <v>1125</v>
      </c>
      <c r="B35" s="2067"/>
      <c r="C35" s="2067"/>
      <c r="D35" s="2067"/>
      <c r="E35" s="206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4" t="s">
        <v>715</v>
      </c>
      <c r="B40" s="2064"/>
      <c r="C40" s="2064"/>
      <c r="D40" s="2064"/>
      <c r="E40" s="2064"/>
    </row>
    <row r="41" spans="1:5" x14ac:dyDescent="0.2">
      <c r="A41" s="2065" t="s">
        <v>1706</v>
      </c>
      <c r="B41" s="2065"/>
      <c r="C41" s="2065"/>
      <c r="D41" s="2065"/>
      <c r="E41" s="2065"/>
    </row>
    <row r="42" spans="1:5" ht="12.75" customHeight="1" x14ac:dyDescent="0.2">
      <c r="A42" s="2066" t="s">
        <v>1080</v>
      </c>
      <c r="B42" s="2066"/>
      <c r="C42" s="2066"/>
      <c r="D42" s="2066"/>
      <c r="E42" s="2066"/>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1714</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1717</v>
      </c>
    </row>
    <row r="72" spans="1:9" ht="9" customHeight="1" x14ac:dyDescent="0.2">
      <c r="A72" s="192"/>
      <c r="B72" s="199"/>
    </row>
    <row r="73" spans="1:9" x14ac:dyDescent="0.2">
      <c r="A73" s="189" t="s">
        <v>1718</v>
      </c>
      <c r="B73" s="169" t="s">
        <v>1886</v>
      </c>
    </row>
    <row r="74" spans="1:9" x14ac:dyDescent="0.2">
      <c r="A74" s="189"/>
      <c r="B74" s="169" t="s">
        <v>1885</v>
      </c>
    </row>
    <row r="75" spans="1:9" ht="8.25" customHeight="1" x14ac:dyDescent="0.2">
      <c r="A75" s="189"/>
      <c r="B75" s="189"/>
    </row>
    <row r="76" spans="1:9" ht="12.2" customHeight="1" x14ac:dyDescent="0.2">
      <c r="A76" s="189" t="s">
        <v>1719</v>
      </c>
      <c r="B76" s="198" t="s">
        <v>1887</v>
      </c>
    </row>
    <row r="77" spans="1:9" ht="12.2" customHeight="1" x14ac:dyDescent="0.2">
      <c r="A77" s="190"/>
      <c r="B77" s="169" t="s">
        <v>1720</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8" t="s">
        <v>1230</v>
      </c>
      <c r="B2" s="2068"/>
      <c r="C2" s="2068"/>
      <c r="D2" s="2068"/>
      <c r="E2" s="2068"/>
      <c r="F2" s="2068"/>
      <c r="G2" s="2068"/>
      <c r="H2" s="2068"/>
      <c r="I2" s="2068"/>
      <c r="J2" s="2068"/>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2" t="s">
        <v>1731</v>
      </c>
      <c r="B35" s="2083"/>
      <c r="C35" s="2083"/>
      <c r="D35" s="2083"/>
      <c r="E35" s="2084"/>
      <c r="F35" s="2084"/>
      <c r="G35" s="2084"/>
      <c r="H35" s="2084"/>
      <c r="I35" s="2084"/>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2" t="s">
        <v>331</v>
      </c>
      <c r="B47" s="2085"/>
      <c r="C47" s="2085"/>
      <c r="D47" s="2085"/>
      <c r="E47" s="2086"/>
      <c r="F47" s="2086"/>
      <c r="G47" s="2086"/>
      <c r="H47" s="2086"/>
      <c r="I47" s="2086"/>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2076</v>
      </c>
      <c r="C54" s="179">
        <v>23</v>
      </c>
      <c r="D54" s="243" t="s">
        <v>1429</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9" t="s">
        <v>2099</v>
      </c>
      <c r="C57" s="2090"/>
      <c r="D57" s="2090"/>
      <c r="E57" s="2090"/>
      <c r="F57" s="2090"/>
      <c r="G57" s="2090"/>
      <c r="H57" s="2090"/>
      <c r="I57" s="2090"/>
      <c r="J57" s="2091"/>
    </row>
    <row r="58" spans="1:10" s="181" customFormat="1" x14ac:dyDescent="0.2">
      <c r="A58" s="253"/>
      <c r="B58" s="2092"/>
      <c r="C58" s="2093"/>
      <c r="D58" s="2093"/>
      <c r="E58" s="2093"/>
      <c r="F58" s="2093"/>
      <c r="G58" s="2093"/>
      <c r="H58" s="2093"/>
      <c r="I58" s="2093"/>
      <c r="J58" s="2094"/>
    </row>
    <row r="59" spans="1:10" s="181" customFormat="1" x14ac:dyDescent="0.2">
      <c r="A59" s="253"/>
      <c r="B59" s="2092"/>
      <c r="C59" s="2093"/>
      <c r="D59" s="2093"/>
      <c r="E59" s="2093"/>
      <c r="F59" s="2093"/>
      <c r="G59" s="2093"/>
      <c r="H59" s="2093"/>
      <c r="I59" s="2093"/>
      <c r="J59" s="2094"/>
    </row>
    <row r="60" spans="1:10" s="181" customFormat="1" x14ac:dyDescent="0.2">
      <c r="A60" s="253"/>
      <c r="B60" s="2092"/>
      <c r="C60" s="2093"/>
      <c r="D60" s="2093"/>
      <c r="E60" s="2093"/>
      <c r="F60" s="2093"/>
      <c r="G60" s="2093"/>
      <c r="H60" s="2093"/>
      <c r="I60" s="2093"/>
      <c r="J60" s="2094"/>
    </row>
    <row r="61" spans="1:10" s="181" customFormat="1" x14ac:dyDescent="0.2">
      <c r="A61" s="253"/>
      <c r="B61" s="2092"/>
      <c r="C61" s="2093"/>
      <c r="D61" s="2093"/>
      <c r="E61" s="2093"/>
      <c r="F61" s="2093"/>
      <c r="G61" s="2093"/>
      <c r="H61" s="2093"/>
      <c r="I61" s="2093"/>
      <c r="J61" s="2094"/>
    </row>
    <row r="62" spans="1:10" s="181" customFormat="1" x14ac:dyDescent="0.2">
      <c r="A62" s="253"/>
      <c r="B62" s="2092"/>
      <c r="C62" s="2093"/>
      <c r="D62" s="2093"/>
      <c r="E62" s="2093"/>
      <c r="F62" s="2093"/>
      <c r="G62" s="2093"/>
      <c r="H62" s="2093"/>
      <c r="I62" s="2093"/>
      <c r="J62" s="2094"/>
    </row>
    <row r="63" spans="1:10" s="181" customFormat="1" x14ac:dyDescent="0.2">
      <c r="A63" s="253"/>
      <c r="B63" s="2092"/>
      <c r="C63" s="2093"/>
      <c r="D63" s="2093"/>
      <c r="E63" s="2093"/>
      <c r="F63" s="2093"/>
      <c r="G63" s="2093"/>
      <c r="H63" s="2093"/>
      <c r="I63" s="2093"/>
      <c r="J63" s="2094"/>
    </row>
    <row r="64" spans="1:10" s="181" customFormat="1" x14ac:dyDescent="0.2">
      <c r="A64" s="253"/>
      <c r="B64" s="2092"/>
      <c r="C64" s="2093"/>
      <c r="D64" s="2093"/>
      <c r="E64" s="2093"/>
      <c r="F64" s="2093"/>
      <c r="G64" s="2093"/>
      <c r="H64" s="2093"/>
      <c r="I64" s="2093"/>
      <c r="J64" s="2094"/>
    </row>
    <row r="65" spans="1:10" s="181" customFormat="1" x14ac:dyDescent="0.2">
      <c r="A65" s="253"/>
      <c r="B65" s="2092"/>
      <c r="C65" s="2093"/>
      <c r="D65" s="2093"/>
      <c r="E65" s="2093"/>
      <c r="F65" s="2093"/>
      <c r="G65" s="2093"/>
      <c r="H65" s="2093"/>
      <c r="I65" s="2093"/>
      <c r="J65" s="2094"/>
    </row>
    <row r="66" spans="1:10" s="181" customFormat="1" x14ac:dyDescent="0.2">
      <c r="A66" s="253"/>
      <c r="B66" s="2092"/>
      <c r="C66" s="2093"/>
      <c r="D66" s="2093"/>
      <c r="E66" s="2093"/>
      <c r="F66" s="2093"/>
      <c r="G66" s="2093"/>
      <c r="H66" s="2093"/>
      <c r="I66" s="2093"/>
      <c r="J66" s="2094"/>
    </row>
    <row r="67" spans="1:10" s="181" customFormat="1" ht="9" customHeight="1" x14ac:dyDescent="0.2">
      <c r="A67" s="254"/>
      <c r="B67" s="2095"/>
      <c r="C67" s="2096"/>
      <c r="D67" s="2096"/>
      <c r="E67" s="2096"/>
      <c r="F67" s="2096"/>
      <c r="G67" s="2096"/>
      <c r="H67" s="2096"/>
      <c r="I67" s="2096"/>
      <c r="J67" s="209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2" t="s">
        <v>1390</v>
      </c>
      <c r="B70" s="2085"/>
      <c r="C70" s="2085"/>
      <c r="D70" s="2085"/>
      <c r="E70" s="2086"/>
      <c r="F70" s="2086"/>
      <c r="G70" s="2086"/>
      <c r="H70" s="2086"/>
      <c r="I70" s="2086"/>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7" t="s">
        <v>1387</v>
      </c>
      <c r="B83" s="2087"/>
      <c r="C83" s="2087"/>
      <c r="D83" s="2088"/>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69"/>
      <c r="C102" s="2070"/>
      <c r="D102" s="2070"/>
      <c r="E102" s="2070"/>
      <c r="F102" s="2070"/>
      <c r="G102" s="2070"/>
      <c r="H102" s="2070"/>
      <c r="I102" s="2071"/>
    </row>
    <row r="103" spans="1:9" s="181" customFormat="1" ht="11.25" customHeight="1" x14ac:dyDescent="0.2">
      <c r="A103" s="316"/>
      <c r="B103" s="2072"/>
      <c r="C103" s="2073"/>
      <c r="D103" s="2073"/>
      <c r="E103" s="2073"/>
      <c r="F103" s="2073"/>
      <c r="G103" s="2073"/>
      <c r="H103" s="2073"/>
      <c r="I103" s="2074"/>
    </row>
    <row r="104" spans="1:9" s="181" customFormat="1" ht="11.25" customHeight="1" x14ac:dyDescent="0.2">
      <c r="A104" s="316"/>
      <c r="B104" s="2072"/>
      <c r="C104" s="2073"/>
      <c r="D104" s="2073"/>
      <c r="E104" s="2073"/>
      <c r="F104" s="2073"/>
      <c r="G104" s="2073"/>
      <c r="H104" s="2073"/>
      <c r="I104" s="2074"/>
    </row>
    <row r="105" spans="1:9" s="181" customFormat="1" x14ac:dyDescent="0.2">
      <c r="A105" s="316"/>
      <c r="B105" s="2072"/>
      <c r="C105" s="2073"/>
      <c r="D105" s="2073"/>
      <c r="E105" s="2073"/>
      <c r="F105" s="2073"/>
      <c r="G105" s="2073"/>
      <c r="H105" s="2073"/>
      <c r="I105" s="2074"/>
    </row>
    <row r="106" spans="1:9" s="181" customFormat="1" ht="11.25" customHeight="1" x14ac:dyDescent="0.2">
      <c r="A106" s="316"/>
      <c r="B106" s="2072"/>
      <c r="C106" s="2073"/>
      <c r="D106" s="2073"/>
      <c r="E106" s="2073"/>
      <c r="F106" s="2073"/>
      <c r="G106" s="2073"/>
      <c r="H106" s="2073"/>
      <c r="I106" s="2074"/>
    </row>
    <row r="107" spans="1:9" s="181" customFormat="1" ht="11.25" customHeight="1" x14ac:dyDescent="0.2">
      <c r="A107" s="316"/>
      <c r="B107" s="2072"/>
      <c r="C107" s="2073"/>
      <c r="D107" s="2073"/>
      <c r="E107" s="2073"/>
      <c r="F107" s="2073"/>
      <c r="G107" s="2073"/>
      <c r="H107" s="2073"/>
      <c r="I107" s="2074"/>
    </row>
    <row r="108" spans="1:9" s="181" customFormat="1" ht="11.25" customHeight="1" x14ac:dyDescent="0.2">
      <c r="A108" s="316"/>
      <c r="B108" s="2072"/>
      <c r="C108" s="2073"/>
      <c r="D108" s="2073"/>
      <c r="E108" s="2073"/>
      <c r="F108" s="2073"/>
      <c r="G108" s="2073"/>
      <c r="H108" s="2073"/>
      <c r="I108" s="2074"/>
    </row>
    <row r="109" spans="1:9" s="181" customFormat="1" ht="11.25" customHeight="1" x14ac:dyDescent="0.2">
      <c r="A109" s="316"/>
      <c r="B109" s="2072"/>
      <c r="C109" s="2073"/>
      <c r="D109" s="2073"/>
      <c r="E109" s="2073"/>
      <c r="F109" s="2073"/>
      <c r="G109" s="2073"/>
      <c r="H109" s="2073"/>
      <c r="I109" s="2074"/>
    </row>
    <row r="110" spans="1:9" s="181" customFormat="1" ht="11.25" customHeight="1" x14ac:dyDescent="0.2">
      <c r="A110" s="316"/>
      <c r="B110" s="2072"/>
      <c r="C110" s="2073"/>
      <c r="D110" s="2073"/>
      <c r="E110" s="2073"/>
      <c r="F110" s="2073"/>
      <c r="G110" s="2073"/>
      <c r="H110" s="2073"/>
      <c r="I110" s="2074"/>
    </row>
    <row r="111" spans="1:9" s="181" customFormat="1" ht="11.25" customHeight="1" x14ac:dyDescent="0.2">
      <c r="A111" s="316"/>
      <c r="B111" s="2072"/>
      <c r="C111" s="2073"/>
      <c r="D111" s="2073"/>
      <c r="E111" s="2073"/>
      <c r="F111" s="2073"/>
      <c r="G111" s="2073"/>
      <c r="H111" s="2073"/>
      <c r="I111" s="2074"/>
    </row>
    <row r="112" spans="1:9" s="181" customFormat="1" ht="11.25" customHeight="1" x14ac:dyDescent="0.2">
      <c r="A112" s="316"/>
      <c r="B112" s="2075"/>
      <c r="C112" s="2076"/>
      <c r="D112" s="2076"/>
      <c r="E112" s="2076"/>
      <c r="F112" s="2076"/>
      <c r="G112" s="2076"/>
      <c r="H112" s="2076"/>
      <c r="I112" s="207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8" t="s">
        <v>2083</v>
      </c>
      <c r="D114" s="2078"/>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9" t="s">
        <v>1397</v>
      </c>
      <c r="D117" s="2080"/>
      <c r="E117" s="2081"/>
      <c r="F117" s="2081"/>
      <c r="G117" s="2081"/>
      <c r="H117" s="2081"/>
      <c r="I117" s="304"/>
    </row>
    <row r="118" spans="1:9" s="181" customFormat="1" ht="24" customHeight="1" x14ac:dyDescent="0.2">
      <c r="A118" s="316"/>
      <c r="B118" s="316"/>
      <c r="C118" s="316"/>
      <c r="D118" s="323" t="s">
        <v>2108</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5"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8" t="s">
        <v>404</v>
      </c>
      <c r="B1" s="2098"/>
      <c r="C1" s="2098"/>
      <c r="D1" s="2098"/>
      <c r="E1" s="2098"/>
      <c r="F1" s="2098"/>
      <c r="G1" s="2098"/>
      <c r="H1" s="2098"/>
      <c r="I1" s="2098"/>
      <c r="J1" s="2098"/>
      <c r="K1" s="2098"/>
      <c r="L1" s="2098"/>
      <c r="M1" s="2098"/>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c r="E10" s="356" t="s">
        <v>1062</v>
      </c>
      <c r="F10" s="355"/>
      <c r="G10" s="356" t="s">
        <v>1062</v>
      </c>
      <c r="H10" s="355"/>
      <c r="I10" s="356" t="s">
        <v>1063</v>
      </c>
      <c r="J10" s="1752">
        <f>ROUND(D10+F10+H10,5)</f>
        <v>0</v>
      </c>
      <c r="K10" s="222"/>
      <c r="L10" s="355"/>
      <c r="M10" s="222"/>
    </row>
    <row r="11" spans="1:14" ht="7.5" customHeight="1" x14ac:dyDescent="0.2">
      <c r="B11" s="222"/>
      <c r="C11" s="222"/>
      <c r="D11" s="2108" t="str">
        <f>IF(SUM(J10)&lt;=0.0999999,"","Enter the Tax Rates by moving the decimal two places to the left.")</f>
        <v/>
      </c>
      <c r="E11" s="2109"/>
      <c r="F11" s="2109"/>
      <c r="G11" s="2109"/>
      <c r="H11" s="2109"/>
      <c r="I11" s="2109"/>
      <c r="J11" s="210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1014795</v>
      </c>
      <c r="E16" s="356"/>
      <c r="F16" s="1753">
        <f>SUM('Acct Summary 7-8'!C17,'Acct Summary 7-8'!D17,'Acct Summary 7-8'!F17)</f>
        <v>979698</v>
      </c>
      <c r="G16" s="356"/>
      <c r="H16" s="1753">
        <f>SUM(D16-F16)</f>
        <v>35097</v>
      </c>
      <c r="I16" s="222"/>
      <c r="J16" s="1753">
        <f>SUM('Acct Summary 7-8'!C81,'Acct Summary 7-8'!D81,'Acct Summary 7-8'!F81,'Acct Summary 7-8'!I81)</f>
        <v>358290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t="str">
        <f>IF(B31="X",(J7*0.069),IF(B32="X",(J7*0.138),"Enter x in a.or b."))</f>
        <v>Enter x in a.or b.</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99"/>
      <c r="C54" s="2100"/>
      <c r="D54" s="2100"/>
      <c r="E54" s="2100"/>
      <c r="F54" s="2100"/>
      <c r="G54" s="2100"/>
      <c r="H54" s="2100"/>
      <c r="I54" s="2100"/>
      <c r="J54" s="2100"/>
      <c r="K54" s="2100"/>
      <c r="L54" s="2101"/>
      <c r="M54" s="380"/>
    </row>
    <row r="55" spans="1:13" ht="12.75" customHeight="1" x14ac:dyDescent="0.2">
      <c r="B55" s="2102"/>
      <c r="C55" s="2103"/>
      <c r="D55" s="2103"/>
      <c r="E55" s="2103"/>
      <c r="F55" s="2103"/>
      <c r="G55" s="2103"/>
      <c r="H55" s="2103"/>
      <c r="I55" s="2103"/>
      <c r="J55" s="2103"/>
      <c r="K55" s="2103"/>
      <c r="L55" s="2104"/>
      <c r="M55" s="380"/>
    </row>
    <row r="56" spans="1:13" ht="12.75" customHeight="1" x14ac:dyDescent="0.2">
      <c r="B56" s="2102"/>
      <c r="C56" s="2103"/>
      <c r="D56" s="2103"/>
      <c r="E56" s="2103"/>
      <c r="F56" s="2103"/>
      <c r="G56" s="2103"/>
      <c r="H56" s="2103"/>
      <c r="I56" s="2103"/>
      <c r="J56" s="2103"/>
      <c r="K56" s="2103"/>
      <c r="L56" s="2104"/>
      <c r="M56" s="222"/>
    </row>
    <row r="57" spans="1:13" ht="12.75" customHeight="1" x14ac:dyDescent="0.2">
      <c r="B57" s="2102"/>
      <c r="C57" s="2103"/>
      <c r="D57" s="2103"/>
      <c r="E57" s="2103"/>
      <c r="F57" s="2103"/>
      <c r="G57" s="2103"/>
      <c r="H57" s="2103"/>
      <c r="I57" s="2103"/>
      <c r="J57" s="2103"/>
      <c r="K57" s="2103"/>
      <c r="L57" s="2104"/>
      <c r="M57" s="222"/>
    </row>
    <row r="58" spans="1:13" x14ac:dyDescent="0.2">
      <c r="B58" s="2105"/>
      <c r="C58" s="2106"/>
      <c r="D58" s="2106"/>
      <c r="E58" s="2106"/>
      <c r="F58" s="2106"/>
      <c r="G58" s="2106"/>
      <c r="H58" s="2106"/>
      <c r="I58" s="2106"/>
      <c r="J58" s="2106"/>
      <c r="K58" s="2106"/>
      <c r="L58" s="210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0"/>
      <c r="D61" s="211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3"/>
      <c r="B1" s="2114"/>
      <c r="C1" s="2114"/>
      <c r="D1" s="384"/>
      <c r="E1" s="384"/>
      <c r="F1" s="384"/>
      <c r="G1" s="384"/>
      <c r="H1" s="384"/>
      <c r="I1" s="384"/>
      <c r="J1" s="384"/>
      <c r="K1" s="384"/>
      <c r="L1" s="384"/>
      <c r="M1" s="384"/>
      <c r="N1" s="384"/>
      <c r="O1" s="2113"/>
      <c r="P1" s="2114"/>
      <c r="Q1" s="2114"/>
    </row>
    <row r="2" spans="1:18" ht="15" x14ac:dyDescent="0.2">
      <c r="A2" s="2117" t="s">
        <v>577</v>
      </c>
      <c r="B2" s="2117"/>
      <c r="C2" s="2117"/>
      <c r="D2" s="2117"/>
      <c r="E2" s="2117"/>
      <c r="F2" s="2117"/>
      <c r="G2" s="2117"/>
      <c r="H2" s="2117"/>
      <c r="I2" s="2117"/>
      <c r="J2" s="2117"/>
      <c r="K2" s="2117"/>
      <c r="L2" s="2117"/>
      <c r="M2" s="2117"/>
      <c r="N2" s="2117"/>
      <c r="O2" s="2117"/>
      <c r="P2" s="2117"/>
      <c r="Q2" s="2117"/>
      <c r="R2" s="2117"/>
    </row>
    <row r="3" spans="1:18" ht="12.75" x14ac:dyDescent="0.2">
      <c r="A3" s="2118" t="s">
        <v>1480</v>
      </c>
      <c r="B3" s="2118"/>
      <c r="C3" s="2118"/>
      <c r="D3" s="2118"/>
      <c r="E3" s="2118"/>
      <c r="F3" s="2118"/>
      <c r="G3" s="2118"/>
      <c r="H3" s="2118"/>
      <c r="I3" s="2118"/>
      <c r="J3" s="2118"/>
      <c r="K3" s="2118"/>
      <c r="L3" s="2118"/>
      <c r="M3" s="2118"/>
      <c r="N3" s="2118"/>
      <c r="O3" s="2118"/>
      <c r="P3" s="2118"/>
      <c r="Q3" s="2118"/>
      <c r="R3" s="2118"/>
    </row>
    <row r="4" spans="1:18" x14ac:dyDescent="0.2">
      <c r="A4" s="2119" t="s">
        <v>1635</v>
      </c>
      <c r="B4" s="2119"/>
      <c r="C4" s="2119"/>
      <c r="D4" s="2119"/>
      <c r="E4" s="2119"/>
      <c r="F4" s="2119"/>
      <c r="G4" s="2119"/>
      <c r="H4" s="2119"/>
      <c r="I4" s="2119"/>
      <c r="J4" s="2119"/>
      <c r="K4" s="2119"/>
      <c r="L4" s="2119"/>
      <c r="M4" s="2119"/>
      <c r="N4" s="2119"/>
      <c r="O4" s="2119"/>
      <c r="P4" s="2119"/>
      <c r="Q4" s="2119"/>
      <c r="R4" s="211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LaSalle-Peru Area Career Center</v>
      </c>
      <c r="E7" s="391"/>
      <c r="G7" s="252"/>
      <c r="H7" s="387"/>
      <c r="I7" s="387"/>
      <c r="J7" s="387"/>
      <c r="K7" s="387"/>
      <c r="L7" s="329"/>
      <c r="M7" s="329"/>
      <c r="N7" s="329"/>
      <c r="O7" s="329"/>
      <c r="P7" s="329"/>
    </row>
    <row r="8" spans="1:18" ht="12.75" x14ac:dyDescent="0.2">
      <c r="A8" s="329"/>
      <c r="B8" s="329"/>
      <c r="C8" s="389" t="s">
        <v>1187</v>
      </c>
      <c r="D8" s="392">
        <f>COVER!A13</f>
        <v>35050120040</v>
      </c>
      <c r="E8" s="393"/>
      <c r="G8" s="329"/>
      <c r="H8" s="329"/>
      <c r="I8" s="329"/>
      <c r="J8" s="329"/>
      <c r="K8" s="329"/>
      <c r="L8" s="329"/>
      <c r="M8" s="329"/>
      <c r="N8" s="329"/>
      <c r="O8" s="329"/>
      <c r="P8" s="329"/>
    </row>
    <row r="9" spans="1:18" ht="12.75" x14ac:dyDescent="0.2">
      <c r="A9" s="329"/>
      <c r="B9" s="329"/>
      <c r="C9" s="389" t="s">
        <v>737</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358290</v>
      </c>
      <c r="I12" s="404"/>
      <c r="J12" s="404"/>
      <c r="K12" s="405">
        <f>TRUNC((H12/H13*100000),5)/100000</f>
        <v>0.35306638279999997</v>
      </c>
      <c r="L12" s="406"/>
      <c r="M12" s="360" t="s">
        <v>1206</v>
      </c>
      <c r="N12" s="360"/>
      <c r="O12" s="407">
        <v>0.35</v>
      </c>
      <c r="P12" s="218"/>
      <c r="Q12" s="218"/>
    </row>
    <row r="13" spans="1:18" s="408" customFormat="1" ht="12.75" x14ac:dyDescent="0.2">
      <c r="A13" s="218"/>
      <c r="B13" s="401"/>
      <c r="C13" s="2115" t="s">
        <v>1391</v>
      </c>
      <c r="D13" s="2116"/>
      <c r="E13" s="218"/>
      <c r="F13" s="409" t="s">
        <v>826</v>
      </c>
      <c r="G13" s="402"/>
      <c r="H13" s="403">
        <f>SUM('Acct Summary 7-8'!C8+'Acct Summary 7-8'!D8+'Acct Summary 7-8'!F8+'Acct Summary 7-8'!I8)+H14</f>
        <v>1014795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979698</v>
      </c>
      <c r="I17" s="404"/>
      <c r="J17" s="416"/>
      <c r="K17" s="405">
        <f>TRUNC((H17/H18*100000),5)/100000</f>
        <v>0.96541468959999999</v>
      </c>
      <c r="L17" s="406"/>
      <c r="M17" s="417" t="s">
        <v>1233</v>
      </c>
      <c r="O17" s="418" t="str">
        <f>IF(AND(O16="2", J20 &gt; 2),"1",IF(AND(O16 = "1", J20 &gt; 2),"2",IF(AND(O16="1", J20 &gt;1),"1","0")))</f>
        <v>0</v>
      </c>
      <c r="P17" s="218"/>
    </row>
    <row r="18" spans="1:18" s="408" customFormat="1" ht="11.25" x14ac:dyDescent="0.2">
      <c r="A18" s="218"/>
      <c r="B18" s="401"/>
      <c r="C18" s="2115" t="s">
        <v>1384</v>
      </c>
      <c r="D18" s="2116"/>
      <c r="E18" s="218"/>
      <c r="F18" s="419" t="s">
        <v>827</v>
      </c>
      <c r="G18" s="402"/>
      <c r="H18" s="403">
        <f>SUM('Acct Summary 7-8'!C8+'Acct Summary 7-8'!D8+'Acct Summary 7-8'!F8+'Acct Summary 7-8'!I8)+H19</f>
        <v>1014795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12" t="s">
        <v>1479</v>
      </c>
      <c r="D24" s="2112"/>
      <c r="E24" s="218"/>
      <c r="F24" s="218" t="s">
        <v>465</v>
      </c>
      <c r="G24" s="402"/>
      <c r="H24" s="403">
        <f>SUM('Assets-Liab 5-6'!C4+'Assets-Liab 5-6'!D4+'Assets-Liab 5-6'!F4+'Assets-Liab 5-6'!I4+'Assets-Liab 5-6'!C5+'Assets-Liab 5-6'!D5+'Assets-Liab 5-6'!F5+'Assets-Liab 5-6'!I5)</f>
        <v>358290</v>
      </c>
      <c r="I24" s="422"/>
      <c r="J24" s="422"/>
      <c r="K24" s="423">
        <f>TRUNC(((H24/H25*100000)/100000),2)</f>
        <v>131.65</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2721.3833300000001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e">
        <f>IF(K28&gt;=75,"4",IF(K28&gt;=50,"3",IF(K28&gt;=25,"2",1)))</f>
        <v>#DIV/0!</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t="e">
        <f>TRUNC(100-((((H28/H29*100))*100)/100),2)</f>
        <v>#DIV/0!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0</v>
      </c>
      <c r="I29" s="428"/>
      <c r="J29" s="428"/>
      <c r="K29" s="410"/>
      <c r="L29" s="218"/>
      <c r="M29" s="360" t="s">
        <v>1207</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e">
        <f>IF(K32&gt;=75,"4",IF(K32&gt;=50,"3",IF(K32&gt;=25,"2",1)))</f>
        <v>#VALUE!</v>
      </c>
      <c r="P31" s="216"/>
    </row>
    <row r="32" spans="1:18" s="408" customFormat="1" ht="11.25" x14ac:dyDescent="0.2">
      <c r="A32" s="218"/>
      <c r="B32" s="401"/>
      <c r="C32" s="218" t="s">
        <v>902</v>
      </c>
      <c r="D32" s="218"/>
      <c r="E32" s="218"/>
      <c r="F32" s="218"/>
      <c r="G32" s="402"/>
      <c r="H32" s="403">
        <f>'FP Info 3'!H37</f>
        <v>0</v>
      </c>
      <c r="I32" s="420"/>
      <c r="J32" s="420"/>
      <c r="K32" s="423" t="e">
        <f>TRUNC(100-((((H32/H33*100))*100)/100),2)</f>
        <v>#VALUE!</v>
      </c>
      <c r="L32" s="406"/>
      <c r="M32" s="360" t="s">
        <v>1206</v>
      </c>
      <c r="N32" s="360"/>
      <c r="O32" s="434">
        <v>0.1</v>
      </c>
    </row>
    <row r="33" spans="1:17" s="408" customFormat="1" ht="11.25" x14ac:dyDescent="0.2">
      <c r="A33" s="218"/>
      <c r="B33" s="401"/>
      <c r="C33" s="218" t="s">
        <v>832</v>
      </c>
      <c r="D33" s="218"/>
      <c r="E33" s="218"/>
      <c r="F33" s="218"/>
      <c r="G33" s="402"/>
      <c r="H33" s="403" t="str">
        <f>IF('FP Info 3'!H31="Enter X in a or b"," ",'FP Info 3'!H31)</f>
        <v>Enter x in a.or b.</v>
      </c>
      <c r="I33" s="420"/>
      <c r="J33" s="420"/>
      <c r="K33" s="403"/>
      <c r="L33" s="218"/>
      <c r="M33" s="435" t="s">
        <v>1207</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t="e">
        <f>(O13+O20+O25+O29+O33)</f>
        <v>#DIV/0!</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0"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1"/>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2" t="s">
        <v>1030</v>
      </c>
      <c r="B3" s="2123"/>
      <c r="C3" s="1579"/>
      <c r="D3" s="1580"/>
      <c r="E3" s="1580"/>
      <c r="F3" s="1580"/>
      <c r="G3" s="1580"/>
      <c r="H3" s="1580"/>
      <c r="I3" s="1580"/>
      <c r="J3" s="1580"/>
      <c r="K3" s="1580"/>
      <c r="L3" s="1580"/>
      <c r="M3" s="1581"/>
      <c r="N3" s="1582"/>
    </row>
    <row r="4" spans="1:14" ht="13.5" customHeight="1" x14ac:dyDescent="0.2">
      <c r="A4" s="463" t="s">
        <v>1750</v>
      </c>
      <c r="B4" s="464"/>
      <c r="C4" s="465">
        <v>226407</v>
      </c>
      <c r="D4" s="465">
        <v>94663</v>
      </c>
      <c r="E4" s="466">
        <v>0</v>
      </c>
      <c r="F4" s="466">
        <v>37220</v>
      </c>
      <c r="G4" s="466">
        <v>0</v>
      </c>
      <c r="H4" s="466">
        <v>0</v>
      </c>
      <c r="I4" s="466">
        <v>0</v>
      </c>
      <c r="J4" s="467">
        <v>0</v>
      </c>
      <c r="K4" s="466">
        <v>0</v>
      </c>
      <c r="L4" s="466">
        <v>22007</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226407</v>
      </c>
      <c r="D13" s="1757">
        <f t="shared" ref="D13:L13" si="0">SUM(D4:D12)</f>
        <v>94663</v>
      </c>
      <c r="E13" s="1757">
        <f t="shared" si="0"/>
        <v>0</v>
      </c>
      <c r="F13" s="1757">
        <f t="shared" si="0"/>
        <v>37220</v>
      </c>
      <c r="G13" s="1757">
        <f t="shared" si="0"/>
        <v>0</v>
      </c>
      <c r="H13" s="1757">
        <f t="shared" si="0"/>
        <v>0</v>
      </c>
      <c r="I13" s="1757">
        <f t="shared" si="0"/>
        <v>0</v>
      </c>
      <c r="J13" s="1757">
        <f t="shared" si="0"/>
        <v>0</v>
      </c>
      <c r="K13" s="1757">
        <f t="shared" si="0"/>
        <v>0</v>
      </c>
      <c r="L13" s="1757">
        <f t="shared" si="0"/>
        <v>22007</v>
      </c>
      <c r="M13" s="468"/>
      <c r="N13" s="469"/>
    </row>
    <row r="14" spans="1:14" ht="18" customHeight="1" thickTop="1" x14ac:dyDescent="0.2">
      <c r="A14" s="2124" t="s">
        <v>149</v>
      </c>
      <c r="B14" s="2125"/>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54850</v>
      </c>
      <c r="N16" s="483"/>
    </row>
    <row r="17" spans="1:14" s="484" customFormat="1" ht="12.75" customHeight="1" x14ac:dyDescent="0.2">
      <c r="A17" s="481" t="s">
        <v>1470</v>
      </c>
      <c r="B17" s="482">
        <v>230</v>
      </c>
      <c r="C17" s="476"/>
      <c r="D17" s="476"/>
      <c r="E17" s="476"/>
      <c r="F17" s="476"/>
      <c r="G17" s="476"/>
      <c r="H17" s="476"/>
      <c r="I17" s="476"/>
      <c r="J17" s="476"/>
      <c r="K17" s="476"/>
      <c r="L17" s="476"/>
      <c r="M17" s="467">
        <v>562637</v>
      </c>
      <c r="N17" s="483"/>
    </row>
    <row r="18" spans="1:14" s="484" customFormat="1" ht="12.75" customHeight="1" x14ac:dyDescent="0.2">
      <c r="A18" s="481" t="s">
        <v>1471</v>
      </c>
      <c r="B18" s="482">
        <v>240</v>
      </c>
      <c r="C18" s="476"/>
      <c r="D18" s="476"/>
      <c r="E18" s="476"/>
      <c r="F18" s="476"/>
      <c r="G18" s="476"/>
      <c r="H18" s="476"/>
      <c r="I18" s="476"/>
      <c r="J18" s="476"/>
      <c r="K18" s="476"/>
      <c r="L18" s="476"/>
      <c r="M18" s="467">
        <v>16909</v>
      </c>
      <c r="N18" s="483"/>
    </row>
    <row r="19" spans="1:14" s="484" customFormat="1" ht="12.75" customHeight="1" x14ac:dyDescent="0.2">
      <c r="A19" s="481" t="s">
        <v>1472</v>
      </c>
      <c r="B19" s="482">
        <v>250</v>
      </c>
      <c r="C19" s="476"/>
      <c r="D19" s="476"/>
      <c r="E19" s="476"/>
      <c r="F19" s="476"/>
      <c r="G19" s="476"/>
      <c r="H19" s="476"/>
      <c r="I19" s="476"/>
      <c r="J19" s="476"/>
      <c r="K19" s="476"/>
      <c r="L19" s="476"/>
      <c r="M19" s="467">
        <v>86399</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6" t="s">
        <v>664</v>
      </c>
      <c r="B23" s="1761"/>
      <c r="C23" s="468"/>
      <c r="D23" s="468"/>
      <c r="E23" s="468"/>
      <c r="F23" s="468"/>
      <c r="G23" s="468"/>
      <c r="H23" s="468"/>
      <c r="I23" s="468"/>
      <c r="J23" s="468"/>
      <c r="K23" s="468"/>
      <c r="L23" s="468"/>
      <c r="M23" s="1708">
        <f>SUM(M15:M22)</f>
        <v>720795</v>
      </c>
      <c r="N23" s="1708">
        <f>SUM(N21:N22)</f>
        <v>0</v>
      </c>
    </row>
    <row r="24" spans="1:14" ht="18" customHeight="1" thickTop="1" x14ac:dyDescent="0.2">
      <c r="A24" s="2126" t="s">
        <v>619</v>
      </c>
      <c r="B24" s="2127"/>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11588</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11588</v>
      </c>
      <c r="M34" s="468"/>
      <c r="N34" s="479"/>
    </row>
    <row r="35" spans="1:14" ht="18" customHeight="1" thickTop="1" x14ac:dyDescent="0.2">
      <c r="A35" s="2128" t="s">
        <v>550</v>
      </c>
      <c r="B35" s="2129"/>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0</v>
      </c>
    </row>
    <row r="37" spans="1:14" ht="13.5" thickBot="1" x14ac:dyDescent="0.25">
      <c r="A37" s="1756" t="s">
        <v>674</v>
      </c>
      <c r="B37" s="1761"/>
      <c r="C37" s="476"/>
      <c r="D37" s="476"/>
      <c r="E37" s="476"/>
      <c r="F37" s="476"/>
      <c r="G37" s="476"/>
      <c r="H37" s="476"/>
      <c r="I37" s="476"/>
      <c r="J37" s="476"/>
      <c r="K37" s="476"/>
      <c r="L37" s="479"/>
      <c r="M37" s="468"/>
      <c r="N37" s="1708">
        <f>SUM(N36:N36)</f>
        <v>0</v>
      </c>
    </row>
    <row r="38" spans="1:14" s="329" customFormat="1" ht="13.5" customHeight="1" thickTop="1" x14ac:dyDescent="0.2">
      <c r="A38" s="494" t="s">
        <v>440</v>
      </c>
      <c r="B38" s="482">
        <v>714</v>
      </c>
      <c r="C38" s="465">
        <v>0</v>
      </c>
      <c r="D38" s="465">
        <v>0</v>
      </c>
      <c r="E38" s="465">
        <v>0</v>
      </c>
      <c r="F38" s="465">
        <v>0</v>
      </c>
      <c r="G38" s="465">
        <v>0</v>
      </c>
      <c r="H38" s="465">
        <v>0</v>
      </c>
      <c r="I38" s="465">
        <v>0</v>
      </c>
      <c r="J38" s="465">
        <v>0</v>
      </c>
      <c r="K38" s="465">
        <v>0</v>
      </c>
      <c r="L38" s="465">
        <v>10419</v>
      </c>
      <c r="M38" s="495"/>
      <c r="N38" s="495"/>
    </row>
    <row r="39" spans="1:14" s="329" customFormat="1" ht="13.5" customHeight="1" x14ac:dyDescent="0.2">
      <c r="A39" s="494" t="s">
        <v>360</v>
      </c>
      <c r="B39" s="482">
        <v>730</v>
      </c>
      <c r="C39" s="465">
        <v>226407</v>
      </c>
      <c r="D39" s="465">
        <v>94663</v>
      </c>
      <c r="E39" s="465">
        <v>0</v>
      </c>
      <c r="F39" s="465">
        <v>37220</v>
      </c>
      <c r="G39" s="465">
        <v>0</v>
      </c>
      <c r="H39" s="465">
        <v>0</v>
      </c>
      <c r="I39" s="465">
        <v>0</v>
      </c>
      <c r="J39" s="465">
        <v>0</v>
      </c>
      <c r="K39" s="465">
        <v>0</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720795</v>
      </c>
      <c r="N40" s="495"/>
    </row>
    <row r="41" spans="1:14" ht="13.5" customHeight="1" thickBot="1" x14ac:dyDescent="0.25">
      <c r="A41" s="1756" t="s">
        <v>676</v>
      </c>
      <c r="B41" s="1726"/>
      <c r="C41" s="1708">
        <f>(SUM(C34,C37,C38,C39))</f>
        <v>226407</v>
      </c>
      <c r="D41" s="1708">
        <f t="shared" ref="D41:L41" si="2">SUM(D34,D37,D38:D39)</f>
        <v>94663</v>
      </c>
      <c r="E41" s="1708">
        <f t="shared" si="2"/>
        <v>0</v>
      </c>
      <c r="F41" s="1708">
        <f t="shared" si="2"/>
        <v>37220</v>
      </c>
      <c r="G41" s="1708">
        <f t="shared" si="2"/>
        <v>0</v>
      </c>
      <c r="H41" s="1708">
        <f t="shared" si="2"/>
        <v>0</v>
      </c>
      <c r="I41" s="1708">
        <f t="shared" si="2"/>
        <v>0</v>
      </c>
      <c r="J41" s="1708">
        <f t="shared" si="2"/>
        <v>0</v>
      </c>
      <c r="K41" s="1708">
        <f t="shared" si="2"/>
        <v>0</v>
      </c>
      <c r="L41" s="1708">
        <f t="shared" si="2"/>
        <v>22007</v>
      </c>
      <c r="M41" s="1708">
        <f>SUM(M40)</f>
        <v>720795</v>
      </c>
      <c r="N41" s="1708">
        <f>SUM(N37)</f>
        <v>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L31" sqref="L3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8"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39"/>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0" t="s">
        <v>1237</v>
      </c>
      <c r="B3" s="2151"/>
      <c r="C3" s="1593"/>
      <c r="D3" s="1594"/>
      <c r="E3" s="1594"/>
      <c r="F3" s="1594"/>
      <c r="G3" s="1594"/>
      <c r="H3" s="1594"/>
      <c r="I3" s="1594"/>
      <c r="J3" s="1594"/>
      <c r="K3" s="1595"/>
      <c r="L3" s="504"/>
    </row>
    <row r="4" spans="1:13" ht="15.75" customHeight="1" x14ac:dyDescent="0.2">
      <c r="A4" s="1952" t="s">
        <v>1579</v>
      </c>
      <c r="B4" s="1953">
        <v>1000</v>
      </c>
      <c r="C4" s="1762">
        <f>'Revenues 9-14'!C109</f>
        <v>574121</v>
      </c>
      <c r="D4" s="1762">
        <f>'Revenues 9-14'!D109</f>
        <v>131507</v>
      </c>
      <c r="E4" s="1762">
        <f>'Revenues 9-14'!E109</f>
        <v>0</v>
      </c>
      <c r="F4" s="1762">
        <f>'Revenues 9-14'!F109</f>
        <v>0</v>
      </c>
      <c r="G4" s="1762">
        <f>'Revenues 9-14'!G109</f>
        <v>0</v>
      </c>
      <c r="H4" s="1762">
        <f>'Revenues 9-14'!H109</f>
        <v>0</v>
      </c>
      <c r="I4" s="1762">
        <f>'Revenues 9-14'!I109</f>
        <v>0</v>
      </c>
      <c r="J4" s="1762">
        <f>'Revenues 9-14'!J109</f>
        <v>0</v>
      </c>
      <c r="K4" s="1762">
        <f>'Revenues 9-14'!K109</f>
        <v>0</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295807</v>
      </c>
      <c r="D6" s="1763">
        <f>'Revenues 9-14'!D173</f>
        <v>0</v>
      </c>
      <c r="E6" s="1763">
        <f>'Revenues 9-14'!E173</f>
        <v>0</v>
      </c>
      <c r="F6" s="1763">
        <f>'Revenues 9-14'!F173</f>
        <v>4597</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8763</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878691</v>
      </c>
      <c r="D8" s="1708">
        <f t="shared" ref="D8:K8" si="0">SUM(D4:D7)</f>
        <v>131507</v>
      </c>
      <c r="E8" s="1708">
        <f t="shared" si="0"/>
        <v>0</v>
      </c>
      <c r="F8" s="1708">
        <f t="shared" si="0"/>
        <v>4597</v>
      </c>
      <c r="G8" s="1708">
        <f t="shared" si="0"/>
        <v>0</v>
      </c>
      <c r="H8" s="1708">
        <f t="shared" si="0"/>
        <v>0</v>
      </c>
      <c r="I8" s="1708">
        <f t="shared" si="0"/>
        <v>0</v>
      </c>
      <c r="J8" s="1708">
        <f t="shared" si="0"/>
        <v>0</v>
      </c>
      <c r="K8" s="1708">
        <f t="shared" si="0"/>
        <v>0</v>
      </c>
      <c r="L8" s="347"/>
    </row>
    <row r="9" spans="1:13" ht="15.75" thickTop="1" x14ac:dyDescent="0.2">
      <c r="A9" s="512" t="s">
        <v>1752</v>
      </c>
      <c r="B9" s="513">
        <v>3998</v>
      </c>
      <c r="C9" s="465">
        <v>0</v>
      </c>
      <c r="D9" s="514"/>
      <c r="E9" s="480"/>
      <c r="F9" s="480"/>
      <c r="G9" s="515"/>
      <c r="H9" s="480"/>
      <c r="I9" s="507" t="s">
        <v>1231</v>
      </c>
      <c r="J9" s="477"/>
      <c r="K9" s="480"/>
      <c r="L9" s="347"/>
    </row>
    <row r="10" spans="1:13" s="517" customFormat="1" ht="13.5" thickBot="1" x14ac:dyDescent="0.25">
      <c r="A10" s="1756" t="s">
        <v>1235</v>
      </c>
      <c r="B10" s="1729"/>
      <c r="C10" s="1708">
        <f>SUM(C8:C9)</f>
        <v>878691</v>
      </c>
      <c r="D10" s="1708">
        <f t="shared" ref="D10:K10" si="1">SUM(D8:D9)</f>
        <v>131507</v>
      </c>
      <c r="E10" s="1708">
        <f t="shared" si="1"/>
        <v>0</v>
      </c>
      <c r="F10" s="1708">
        <f t="shared" si="1"/>
        <v>4597</v>
      </c>
      <c r="G10" s="1708">
        <f t="shared" si="1"/>
        <v>0</v>
      </c>
      <c r="H10" s="1708">
        <f t="shared" si="1"/>
        <v>0</v>
      </c>
      <c r="I10" s="1708">
        <f t="shared" si="1"/>
        <v>0</v>
      </c>
      <c r="J10" s="1708">
        <f t="shared" si="1"/>
        <v>0</v>
      </c>
      <c r="K10" s="1708">
        <f t="shared" si="1"/>
        <v>0</v>
      </c>
      <c r="L10" s="516"/>
    </row>
    <row r="11" spans="1:13" s="517" customFormat="1" ht="16.7" customHeight="1" thickTop="1" x14ac:dyDescent="0.2">
      <c r="A11" s="2124" t="s">
        <v>1238</v>
      </c>
      <c r="B11" s="2125"/>
      <c r="C11" s="1590"/>
      <c r="D11" s="1591"/>
      <c r="E11" s="1591"/>
      <c r="F11" s="1591"/>
      <c r="G11" s="1591"/>
      <c r="H11" s="1591"/>
      <c r="I11" s="1591"/>
      <c r="J11" s="1591"/>
      <c r="K11" s="1592"/>
      <c r="L11" s="516"/>
    </row>
    <row r="12" spans="1:13" ht="15.75" customHeight="1" x14ac:dyDescent="0.2">
      <c r="A12" s="1596" t="s">
        <v>476</v>
      </c>
      <c r="B12" s="1598">
        <v>1000</v>
      </c>
      <c r="C12" s="1762">
        <f>'Expenditures 15-22'!K33</f>
        <v>97930</v>
      </c>
      <c r="D12" s="518" t="s">
        <v>1231</v>
      </c>
      <c r="E12" s="468" t="s">
        <v>1231</v>
      </c>
      <c r="F12" s="468" t="s">
        <v>1231</v>
      </c>
      <c r="G12" s="1762">
        <f>'Expenditures 15-22'!K229</f>
        <v>0</v>
      </c>
      <c r="H12" s="519"/>
      <c r="I12" s="468" t="s">
        <v>1231</v>
      </c>
      <c r="J12" s="468" t="s">
        <v>1231</v>
      </c>
      <c r="K12" s="519" t="s">
        <v>1231</v>
      </c>
      <c r="L12" s="347"/>
    </row>
    <row r="13" spans="1:13" ht="15.75" customHeight="1" x14ac:dyDescent="0.2">
      <c r="A13" s="1596" t="s">
        <v>477</v>
      </c>
      <c r="B13" s="1598">
        <v>2000</v>
      </c>
      <c r="C13" s="1763">
        <f>'Expenditures 15-22'!K74</f>
        <v>15804</v>
      </c>
      <c r="D13" s="1763">
        <f>'Expenditures 15-22'!K129</f>
        <v>50425</v>
      </c>
      <c r="E13" s="469" t="s">
        <v>1231</v>
      </c>
      <c r="F13" s="1763">
        <f>'Expenditures 15-22'!K184</f>
        <v>2174</v>
      </c>
      <c r="G13" s="1763">
        <f>'Expenditures 15-22'!K279</f>
        <v>0</v>
      </c>
      <c r="H13" s="1763">
        <f>'Expenditures 15-22'!K303</f>
        <v>0</v>
      </c>
      <c r="I13" s="468" t="s">
        <v>1231</v>
      </c>
      <c r="J13" s="1763">
        <f>'Expenditures 15-22'!K330</f>
        <v>0</v>
      </c>
      <c r="K13" s="1767">
        <f>'Expenditures 15-22'!K352</f>
        <v>0</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702517</v>
      </c>
      <c r="D15" s="1763">
        <f>'Expenditures 15-22'!K139</f>
        <v>107162</v>
      </c>
      <c r="E15" s="1763">
        <f>'Expenditures 15-22'!K160</f>
        <v>0</v>
      </c>
      <c r="F15" s="1763">
        <f>'Expenditures 15-22'!K196</f>
        <v>3686</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0</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816251</v>
      </c>
      <c r="D17" s="1708">
        <f t="shared" si="2"/>
        <v>157587</v>
      </c>
      <c r="E17" s="1708">
        <f t="shared" si="2"/>
        <v>0</v>
      </c>
      <c r="F17" s="1708">
        <f t="shared" si="2"/>
        <v>5860</v>
      </c>
      <c r="G17" s="1708">
        <f t="shared" si="2"/>
        <v>0</v>
      </c>
      <c r="H17" s="1708">
        <f t="shared" si="2"/>
        <v>0</v>
      </c>
      <c r="I17" s="468"/>
      <c r="J17" s="1708">
        <f>SUM(J12:J16)</f>
        <v>0</v>
      </c>
      <c r="K17" s="1708">
        <f>SUM(K12:K16)</f>
        <v>0</v>
      </c>
      <c r="L17" s="347"/>
    </row>
    <row r="18" spans="1:12" ht="15" customHeight="1" thickTop="1" x14ac:dyDescent="0.2">
      <c r="A18" s="1764" t="s">
        <v>1753</v>
      </c>
      <c r="B18" s="1765">
        <v>4180</v>
      </c>
      <c r="C18" s="1762">
        <f t="shared" ref="C18:H18" si="3">C9</f>
        <v>0</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816251</v>
      </c>
      <c r="D19" s="1708">
        <f t="shared" si="4"/>
        <v>157587</v>
      </c>
      <c r="E19" s="1708">
        <f t="shared" si="4"/>
        <v>0</v>
      </c>
      <c r="F19" s="1708">
        <f t="shared" si="4"/>
        <v>5860</v>
      </c>
      <c r="G19" s="1708">
        <f t="shared" si="4"/>
        <v>0</v>
      </c>
      <c r="H19" s="1708">
        <f t="shared" si="4"/>
        <v>0</v>
      </c>
      <c r="I19" s="468"/>
      <c r="J19" s="1708">
        <f>SUM(J17:J18)</f>
        <v>0</v>
      </c>
      <c r="K19" s="1708">
        <f>SUM(K17:K18)</f>
        <v>0</v>
      </c>
      <c r="L19" s="347"/>
    </row>
    <row r="20" spans="1:12" ht="16.5" thickTop="1" thickBot="1" x14ac:dyDescent="0.25">
      <c r="A20" s="2140" t="s">
        <v>1754</v>
      </c>
      <c r="B20" s="2141"/>
      <c r="C20" s="1766">
        <f>C8-C17</f>
        <v>62440</v>
      </c>
      <c r="D20" s="1766">
        <f t="shared" ref="D20:K20" si="5">D8-D17</f>
        <v>-26080</v>
      </c>
      <c r="E20" s="1766">
        <f t="shared" si="5"/>
        <v>0</v>
      </c>
      <c r="F20" s="1766">
        <f t="shared" si="5"/>
        <v>-1263</v>
      </c>
      <c r="G20" s="1766">
        <f t="shared" si="5"/>
        <v>0</v>
      </c>
      <c r="H20" s="1766">
        <f t="shared" si="5"/>
        <v>0</v>
      </c>
      <c r="I20" s="1766">
        <f t="shared" si="5"/>
        <v>0</v>
      </c>
      <c r="J20" s="1766">
        <f t="shared" si="5"/>
        <v>0</v>
      </c>
      <c r="K20" s="1766">
        <f t="shared" si="5"/>
        <v>0</v>
      </c>
      <c r="L20" s="347"/>
    </row>
    <row r="21" spans="1:12" ht="16.7" customHeight="1" thickTop="1" x14ac:dyDescent="0.2">
      <c r="A21" s="2152" t="s">
        <v>616</v>
      </c>
      <c r="B21" s="2153"/>
      <c r="C21" s="1590"/>
      <c r="D21" s="1591"/>
      <c r="E21" s="1591"/>
      <c r="F21" s="1591"/>
      <c r="G21" s="1591"/>
      <c r="H21" s="1591"/>
      <c r="I21" s="1591"/>
      <c r="J21" s="1591"/>
      <c r="K21" s="1592"/>
      <c r="L21" s="522"/>
    </row>
    <row r="22" spans="1:12" ht="15.75" customHeight="1" collapsed="1" x14ac:dyDescent="0.2">
      <c r="A22" s="2148" t="s">
        <v>617</v>
      </c>
      <c r="B22" s="2149"/>
      <c r="C22" s="476"/>
      <c r="D22" s="476"/>
      <c r="E22" s="476"/>
      <c r="F22" s="476"/>
      <c r="G22" s="476"/>
      <c r="H22" s="476"/>
      <c r="I22" s="476"/>
      <c r="J22" s="476"/>
      <c r="K22" s="476"/>
      <c r="L22" s="347"/>
    </row>
    <row r="23" spans="1:12" s="484" customFormat="1" ht="15.75" customHeight="1" x14ac:dyDescent="0.2">
      <c r="A23" s="2144" t="s">
        <v>311</v>
      </c>
      <c r="B23" s="2145"/>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46" t="s">
        <v>1038</v>
      </c>
      <c r="B32" s="2147"/>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4" t="s">
        <v>392</v>
      </c>
      <c r="B44" s="2155"/>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48" t="s">
        <v>110</v>
      </c>
      <c r="B45" s="2149"/>
      <c r="C45" s="526"/>
      <c r="D45" s="526"/>
      <c r="E45" s="526"/>
      <c r="F45" s="526"/>
      <c r="G45" s="526"/>
      <c r="H45" s="526"/>
      <c r="I45" s="526"/>
      <c r="J45" s="526"/>
      <c r="K45" s="526"/>
      <c r="L45" s="347"/>
    </row>
    <row r="46" spans="1:12" s="484" customFormat="1" ht="15.75" customHeight="1" x14ac:dyDescent="0.2">
      <c r="A46" s="2156" t="s">
        <v>111</v>
      </c>
      <c r="B46" s="2157"/>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0" t="s">
        <v>460</v>
      </c>
      <c r="B76" s="2131"/>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2" t="s">
        <v>1239</v>
      </c>
      <c r="B77" s="2133"/>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36" t="s">
        <v>618</v>
      </c>
      <c r="B78" s="2137"/>
      <c r="C78" s="1722">
        <f t="shared" ref="C78:K78" si="9">C20+C77</f>
        <v>62440</v>
      </c>
      <c r="D78" s="1722">
        <f t="shared" si="9"/>
        <v>-26080</v>
      </c>
      <c r="E78" s="1722">
        <f t="shared" si="9"/>
        <v>0</v>
      </c>
      <c r="F78" s="1722">
        <f t="shared" si="9"/>
        <v>-1263</v>
      </c>
      <c r="G78" s="1722">
        <f t="shared" si="9"/>
        <v>0</v>
      </c>
      <c r="H78" s="1722">
        <f t="shared" si="9"/>
        <v>0</v>
      </c>
      <c r="I78" s="1722">
        <f t="shared" si="9"/>
        <v>0</v>
      </c>
      <c r="J78" s="1722">
        <f t="shared" si="9"/>
        <v>0</v>
      </c>
      <c r="K78" s="1722">
        <f t="shared" si="9"/>
        <v>0</v>
      </c>
      <c r="L78" s="531"/>
    </row>
    <row r="79" spans="1:12" ht="13.5" thickTop="1" x14ac:dyDescent="0.2">
      <c r="A79" s="1514" t="s">
        <v>2072</v>
      </c>
      <c r="B79" s="532"/>
      <c r="C79" s="467">
        <v>163967</v>
      </c>
      <c r="D79" s="467">
        <v>120743</v>
      </c>
      <c r="E79" s="467">
        <v>0</v>
      </c>
      <c r="F79" s="467">
        <v>38483</v>
      </c>
      <c r="G79" s="467">
        <v>0</v>
      </c>
      <c r="H79" s="467">
        <v>0</v>
      </c>
      <c r="I79" s="467">
        <v>0</v>
      </c>
      <c r="J79" s="467">
        <v>0</v>
      </c>
      <c r="K79" s="467">
        <v>0</v>
      </c>
      <c r="L79" s="347"/>
    </row>
    <row r="80" spans="1:12" x14ac:dyDescent="0.2">
      <c r="A80" s="2142" t="s">
        <v>1897</v>
      </c>
      <c r="B80" s="2143"/>
      <c r="C80" s="467">
        <v>0</v>
      </c>
      <c r="D80" s="467">
        <v>0</v>
      </c>
      <c r="E80" s="467">
        <v>0</v>
      </c>
      <c r="F80" s="467">
        <v>0</v>
      </c>
      <c r="G80" s="467">
        <v>0</v>
      </c>
      <c r="H80" s="467">
        <v>0</v>
      </c>
      <c r="I80" s="467">
        <v>0</v>
      </c>
      <c r="J80" s="467">
        <v>0</v>
      </c>
      <c r="K80" s="467">
        <v>0</v>
      </c>
      <c r="L80" s="347"/>
    </row>
    <row r="81" spans="1:12" ht="13.5" thickBot="1" x14ac:dyDescent="0.25">
      <c r="A81" s="2134" t="s">
        <v>2073</v>
      </c>
      <c r="B81" s="2135"/>
      <c r="C81" s="1708">
        <f>(SUM(C78:C80))</f>
        <v>226407</v>
      </c>
      <c r="D81" s="1708">
        <f>SUM(D78:D80)</f>
        <v>94663</v>
      </c>
      <c r="E81" s="1708">
        <f t="shared" ref="E81:K81" si="10">SUM(E78:E80)</f>
        <v>0</v>
      </c>
      <c r="F81" s="1708">
        <f t="shared" si="10"/>
        <v>37220</v>
      </c>
      <c r="G81" s="1708">
        <f t="shared" si="10"/>
        <v>0</v>
      </c>
      <c r="H81" s="1708">
        <f t="shared" si="10"/>
        <v>0</v>
      </c>
      <c r="I81" s="1708">
        <f t="shared" si="10"/>
        <v>0</v>
      </c>
      <c r="J81" s="1708">
        <f t="shared" si="10"/>
        <v>0</v>
      </c>
      <c r="K81" s="1708">
        <f t="shared" si="10"/>
        <v>0</v>
      </c>
      <c r="L81" s="347"/>
    </row>
    <row r="82" spans="1:12" ht="0.75" customHeight="1" thickTop="1" thickBot="1" x14ac:dyDescent="0.25">
      <c r="A82" s="534" t="s">
        <v>361</v>
      </c>
      <c r="B82" s="535"/>
      <c r="C82" s="536">
        <f>(C81-C79)</f>
        <v>62440</v>
      </c>
      <c r="D82" s="536">
        <f t="shared" ref="D82:K82" si="11">(D81-D79)</f>
        <v>-26080</v>
      </c>
      <c r="E82" s="536">
        <f t="shared" si="11"/>
        <v>0</v>
      </c>
      <c r="F82" s="536">
        <f t="shared" si="11"/>
        <v>-1263</v>
      </c>
      <c r="G82" s="536">
        <f t="shared" si="11"/>
        <v>0</v>
      </c>
      <c r="H82" s="536">
        <f t="shared" si="11"/>
        <v>0</v>
      </c>
      <c r="I82" s="536">
        <f t="shared" si="11"/>
        <v>0</v>
      </c>
      <c r="J82" s="536">
        <f t="shared" si="11"/>
        <v>0</v>
      </c>
      <c r="K82" s="536">
        <f t="shared" si="11"/>
        <v>0</v>
      </c>
    </row>
    <row r="83" spans="1:12" ht="14.25" hidden="1" thickTop="1" thickBot="1" x14ac:dyDescent="0.25">
      <c r="A83" s="537" t="s">
        <v>362</v>
      </c>
      <c r="B83" s="464"/>
      <c r="C83" s="538">
        <f>C82/C81</f>
        <v>0.27578652603497239</v>
      </c>
      <c r="D83" s="538">
        <f t="shared" ref="D83:K83" si="12">D82/D81</f>
        <v>-0.27550362866167349</v>
      </c>
      <c r="E83" s="538" t="e">
        <f t="shared" si="12"/>
        <v>#DIV/0!</v>
      </c>
      <c r="F83" s="538">
        <f t="shared" si="12"/>
        <v>-3.3933369156367542E-2</v>
      </c>
      <c r="G83" s="538" t="e">
        <f t="shared" si="12"/>
        <v>#DIV/0!</v>
      </c>
      <c r="H83" s="538" t="e">
        <f t="shared" si="12"/>
        <v>#DIV/0!</v>
      </c>
      <c r="I83" s="538" t="e">
        <f t="shared" si="12"/>
        <v>#DIV/0!</v>
      </c>
      <c r="J83" s="538" t="e">
        <f t="shared" si="12"/>
        <v>#DIV/0!</v>
      </c>
      <c r="K83" s="538" t="e">
        <f t="shared" si="12"/>
        <v>#DIV/0!</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L31" sqref="L31"/>
      <selection pane="bottomLeft" activeCell="C29" sqref="C29"/>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8" t="s">
        <v>1904</v>
      </c>
      <c r="B1" s="452"/>
      <c r="C1" s="453" t="s">
        <v>445</v>
      </c>
      <c r="D1" s="453" t="s">
        <v>446</v>
      </c>
      <c r="E1" s="453" t="s">
        <v>447</v>
      </c>
      <c r="F1" s="453" t="s">
        <v>448</v>
      </c>
      <c r="G1" s="453" t="s">
        <v>449</v>
      </c>
      <c r="H1" s="453" t="s">
        <v>450</v>
      </c>
      <c r="I1" s="453" t="s">
        <v>451</v>
      </c>
      <c r="J1" s="453" t="s">
        <v>452</v>
      </c>
      <c r="K1" s="453" t="s">
        <v>780</v>
      </c>
    </row>
    <row r="2" spans="1:12" ht="36" x14ac:dyDescent="0.2">
      <c r="A2" s="2139"/>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0</v>
      </c>
      <c r="D5" s="480">
        <v>0</v>
      </c>
      <c r="E5" s="480">
        <v>0</v>
      </c>
      <c r="F5" s="546">
        <v>0</v>
      </c>
      <c r="G5" s="466">
        <v>0</v>
      </c>
      <c r="H5" s="466">
        <v>0</v>
      </c>
      <c r="I5" s="466">
        <v>0</v>
      </c>
      <c r="J5" s="466">
        <v>0</v>
      </c>
      <c r="K5" s="466">
        <v>0</v>
      </c>
    </row>
    <row r="6" spans="1:12" ht="15" x14ac:dyDescent="0.2">
      <c r="A6" s="463" t="s">
        <v>1761</v>
      </c>
      <c r="B6" s="470">
        <v>1130</v>
      </c>
      <c r="C6" s="466">
        <v>0</v>
      </c>
      <c r="D6" s="466">
        <v>0</v>
      </c>
      <c r="E6" s="475"/>
      <c r="F6" s="475"/>
      <c r="G6" s="468"/>
      <c r="H6" s="468"/>
      <c r="I6" s="468"/>
      <c r="J6" s="468"/>
      <c r="K6" s="468"/>
    </row>
    <row r="7" spans="1:12" x14ac:dyDescent="0.2">
      <c r="A7" s="463" t="s">
        <v>112</v>
      </c>
      <c r="B7" s="547">
        <v>1140</v>
      </c>
      <c r="C7" s="466">
        <v>0</v>
      </c>
      <c r="D7" s="466">
        <v>0</v>
      </c>
      <c r="E7" s="468"/>
      <c r="F7" s="467">
        <v>0</v>
      </c>
      <c r="G7" s="467">
        <v>0</v>
      </c>
      <c r="H7" s="467">
        <v>0</v>
      </c>
      <c r="I7" s="468"/>
      <c r="J7" s="468"/>
      <c r="K7" s="468"/>
    </row>
    <row r="8" spans="1:12" x14ac:dyDescent="0.2">
      <c r="A8" s="463" t="s">
        <v>433</v>
      </c>
      <c r="B8" s="470">
        <v>1150</v>
      </c>
      <c r="C8" s="475"/>
      <c r="D8" s="475"/>
      <c r="E8" s="476"/>
      <c r="F8" s="476"/>
      <c r="G8" s="480">
        <v>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0</v>
      </c>
      <c r="D12" s="1727">
        <f t="shared" si="0"/>
        <v>0</v>
      </c>
      <c r="E12" s="1727">
        <f t="shared" si="0"/>
        <v>0</v>
      </c>
      <c r="F12" s="1727">
        <f t="shared" si="0"/>
        <v>0</v>
      </c>
      <c r="G12" s="1727">
        <f t="shared" si="0"/>
        <v>0</v>
      </c>
      <c r="H12" s="1727">
        <f t="shared" si="0"/>
        <v>0</v>
      </c>
      <c r="I12" s="1727">
        <f t="shared" si="0"/>
        <v>0</v>
      </c>
      <c r="J12" s="1727">
        <f t="shared" si="0"/>
        <v>0</v>
      </c>
      <c r="K12" s="1708">
        <f t="shared" si="0"/>
        <v>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0</v>
      </c>
      <c r="F14" s="466">
        <v>0</v>
      </c>
      <c r="G14" s="466">
        <v>0</v>
      </c>
      <c r="H14" s="466">
        <v>0</v>
      </c>
      <c r="I14" s="466">
        <v>0</v>
      </c>
      <c r="J14" s="467">
        <v>0</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0</v>
      </c>
      <c r="D16" s="466">
        <v>0</v>
      </c>
      <c r="E16" s="466">
        <v>0</v>
      </c>
      <c r="F16" s="466">
        <v>0</v>
      </c>
      <c r="G16" s="466">
        <v>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0</v>
      </c>
      <c r="D18" s="1730">
        <f t="shared" ref="D18:K18" si="1">SUM(D14:D17)</f>
        <v>0</v>
      </c>
      <c r="E18" s="1730">
        <f t="shared" si="1"/>
        <v>0</v>
      </c>
      <c r="F18" s="1730">
        <f t="shared" si="1"/>
        <v>0</v>
      </c>
      <c r="G18" s="1730">
        <f t="shared" si="1"/>
        <v>0</v>
      </c>
      <c r="H18" s="1730">
        <f t="shared" si="1"/>
        <v>0</v>
      </c>
      <c r="I18" s="1730">
        <f t="shared" si="1"/>
        <v>0</v>
      </c>
      <c r="J18" s="1730">
        <f t="shared" si="1"/>
        <v>0</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550800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550800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214</v>
      </c>
      <c r="D65" s="466">
        <v>76</v>
      </c>
      <c r="E65" s="466">
        <v>0</v>
      </c>
      <c r="F65" s="467">
        <v>0</v>
      </c>
      <c r="G65" s="466">
        <v>0</v>
      </c>
      <c r="H65" s="466">
        <v>0</v>
      </c>
      <c r="I65" s="466">
        <v>0</v>
      </c>
      <c r="J65" s="467">
        <v>0</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214</v>
      </c>
      <c r="D67" s="1708">
        <f t="shared" ref="D67:K67" si="2">SUM(D65:D66)</f>
        <v>76</v>
      </c>
      <c r="E67" s="1708">
        <f t="shared" si="2"/>
        <v>0</v>
      </c>
      <c r="F67" s="1708">
        <f t="shared" si="2"/>
        <v>0</v>
      </c>
      <c r="G67" s="1708">
        <f t="shared" si="2"/>
        <v>0</v>
      </c>
      <c r="H67" s="1708">
        <f t="shared" si="2"/>
        <v>0</v>
      </c>
      <c r="I67" s="1708">
        <f t="shared" si="2"/>
        <v>0</v>
      </c>
      <c r="J67" s="1708">
        <f t="shared" si="2"/>
        <v>0</v>
      </c>
      <c r="K67" s="1708">
        <f t="shared" si="2"/>
        <v>0</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0</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0</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0</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0</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34231</v>
      </c>
      <c r="E95" s="519"/>
      <c r="F95" s="519"/>
      <c r="G95" s="519"/>
      <c r="H95" s="519"/>
      <c r="I95" s="519"/>
      <c r="J95" s="519"/>
      <c r="K95" s="519"/>
    </row>
    <row r="96" spans="1:11" ht="12.75" customHeight="1" x14ac:dyDescent="0.2">
      <c r="A96" s="463" t="s">
        <v>409</v>
      </c>
      <c r="B96" s="470">
        <v>1920</v>
      </c>
      <c r="C96" s="549">
        <v>130</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200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0</v>
      </c>
      <c r="I103" s="468"/>
      <c r="J103" s="508"/>
      <c r="K103" s="508"/>
    </row>
    <row r="104" spans="1:12" ht="12.75" customHeight="1" x14ac:dyDescent="0.2">
      <c r="A104" s="463" t="s">
        <v>885</v>
      </c>
      <c r="B104" s="470">
        <v>1991</v>
      </c>
      <c r="C104" s="487">
        <v>0</v>
      </c>
      <c r="D104" s="466">
        <v>97200</v>
      </c>
      <c r="E104" s="480">
        <v>0</v>
      </c>
      <c r="F104" s="467">
        <v>0</v>
      </c>
      <c r="G104" s="467">
        <v>0</v>
      </c>
      <c r="H104" s="466">
        <v>0</v>
      </c>
      <c r="I104" s="468"/>
      <c r="J104" s="468"/>
      <c r="K104" s="468"/>
    </row>
    <row r="105" spans="1:12" ht="12.75" customHeight="1" x14ac:dyDescent="0.2">
      <c r="A105" s="463" t="s">
        <v>876</v>
      </c>
      <c r="B105" s="470">
        <v>1992</v>
      </c>
      <c r="C105" s="466">
        <v>17967</v>
      </c>
      <c r="D105" s="559"/>
      <c r="E105" s="468"/>
      <c r="F105" s="468"/>
      <c r="G105" s="468"/>
      <c r="H105" s="508"/>
      <c r="I105" s="468"/>
      <c r="J105" s="468"/>
      <c r="K105" s="468"/>
    </row>
    <row r="106" spans="1:12" ht="12.75" customHeight="1" x14ac:dyDescent="0.2">
      <c r="A106" s="463" t="s">
        <v>1505</v>
      </c>
      <c r="B106" s="470">
        <v>1993</v>
      </c>
      <c r="C106" s="466">
        <v>4810</v>
      </c>
      <c r="D106" s="487">
        <v>0</v>
      </c>
      <c r="E106" s="467">
        <v>0</v>
      </c>
      <c r="F106" s="467">
        <v>0</v>
      </c>
      <c r="G106" s="467">
        <v>0</v>
      </c>
      <c r="H106" s="467">
        <v>0</v>
      </c>
      <c r="I106" s="519"/>
      <c r="J106" s="467">
        <v>0</v>
      </c>
      <c r="K106" s="467">
        <v>0</v>
      </c>
    </row>
    <row r="107" spans="1:12" ht="12.75" customHeight="1" x14ac:dyDescent="0.2">
      <c r="A107" s="463" t="s">
        <v>80</v>
      </c>
      <c r="B107" s="470">
        <v>1999</v>
      </c>
      <c r="C107" s="549">
        <v>0</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23107</v>
      </c>
      <c r="D108" s="1727">
        <f t="shared" ref="D108:K108" si="3">SUM(D95:D107)</f>
        <v>131431</v>
      </c>
      <c r="E108" s="1727">
        <f t="shared" si="3"/>
        <v>0</v>
      </c>
      <c r="F108" s="1727">
        <f t="shared" si="3"/>
        <v>0</v>
      </c>
      <c r="G108" s="1727">
        <f t="shared" si="3"/>
        <v>0</v>
      </c>
      <c r="H108" s="1727">
        <f t="shared" si="3"/>
        <v>0</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574121</v>
      </c>
      <c r="D109" s="1735">
        <f t="shared" si="4"/>
        <v>131507</v>
      </c>
      <c r="E109" s="1735">
        <f t="shared" si="4"/>
        <v>0</v>
      </c>
      <c r="F109" s="1735">
        <f t="shared" si="4"/>
        <v>0</v>
      </c>
      <c r="G109" s="1735">
        <f t="shared" si="4"/>
        <v>0</v>
      </c>
      <c r="H109" s="1735">
        <f t="shared" si="4"/>
        <v>0</v>
      </c>
      <c r="I109" s="1735">
        <f t="shared" si="4"/>
        <v>0</v>
      </c>
      <c r="J109" s="1735">
        <f t="shared" si="4"/>
        <v>0</v>
      </c>
      <c r="K109" s="1722">
        <f t="shared" si="4"/>
        <v>0</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0</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0</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0</v>
      </c>
      <c r="D125" s="559"/>
      <c r="E125" s="468"/>
      <c r="F125" s="466">
        <v>0</v>
      </c>
      <c r="G125" s="468"/>
      <c r="H125" s="468"/>
      <c r="I125" s="468"/>
      <c r="J125" s="468"/>
      <c r="K125" s="468"/>
    </row>
    <row r="126" spans="1:11" ht="12.75" customHeight="1" x14ac:dyDescent="0.2">
      <c r="A126" s="463" t="s">
        <v>922</v>
      </c>
      <c r="B126" s="560">
        <v>3110</v>
      </c>
      <c r="C126" s="549">
        <v>0</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0</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295807</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295807</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0</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4597</v>
      </c>
      <c r="G151" s="467">
        <v>0</v>
      </c>
      <c r="H151" s="468"/>
      <c r="I151" s="468"/>
      <c r="J151" s="468"/>
      <c r="K151" s="468"/>
    </row>
    <row r="152" spans="1:11" ht="12.75" customHeight="1" x14ac:dyDescent="0.2">
      <c r="A152" s="463" t="s">
        <v>1117</v>
      </c>
      <c r="B152" s="560">
        <v>3510</v>
      </c>
      <c r="C152" s="549">
        <v>0</v>
      </c>
      <c r="D152" s="466">
        <v>0</v>
      </c>
      <c r="E152" s="559"/>
      <c r="F152" s="466">
        <v>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4597</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58" t="s">
        <v>418</v>
      </c>
      <c r="B172" s="2159"/>
      <c r="C172" s="1742">
        <f t="shared" ref="C172:K172" si="6">SUM(C131,C140,C144,C145:C149,C154,C155:C170,C171)</f>
        <v>295807</v>
      </c>
      <c r="D172" s="1742">
        <f t="shared" si="6"/>
        <v>0</v>
      </c>
      <c r="E172" s="1742">
        <f t="shared" si="6"/>
        <v>0</v>
      </c>
      <c r="F172" s="1742">
        <f t="shared" si="6"/>
        <v>4597</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295807</v>
      </c>
      <c r="D173" s="1735">
        <f>SUM(D121,D172)</f>
        <v>0</v>
      </c>
      <c r="E173" s="1735">
        <f>SUM(E121,E172)</f>
        <v>0</v>
      </c>
      <c r="F173" s="1735">
        <f t="shared" ref="F173:K173" si="7">SUM(F121,F172)</f>
        <v>4597</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0" t="s">
        <v>1572</v>
      </c>
      <c r="B175" s="2161"/>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4" t="s">
        <v>1764</v>
      </c>
      <c r="B178" s="2165"/>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8" t="s">
        <v>1763</v>
      </c>
      <c r="B179" s="2169"/>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6" t="s">
        <v>818</v>
      </c>
      <c r="B184" s="2167"/>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2" t="s">
        <v>1905</v>
      </c>
      <c r="B185" s="2163"/>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0</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0</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0</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0</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8763</v>
      </c>
      <c r="D227" s="466">
        <v>0</v>
      </c>
      <c r="E227" s="468"/>
      <c r="F227" s="468"/>
      <c r="G227" s="466">
        <v>0</v>
      </c>
      <c r="H227" s="468"/>
      <c r="I227" s="468"/>
      <c r="J227" s="468"/>
      <c r="K227" s="468"/>
    </row>
    <row r="228" spans="1:11" ht="12.75" customHeight="1" thickBot="1" x14ac:dyDescent="0.25">
      <c r="A228" s="1743" t="s">
        <v>1145</v>
      </c>
      <c r="B228" s="1744"/>
      <c r="C228" s="1727">
        <f>SUM(C226:C227)</f>
        <v>8763</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0</v>
      </c>
      <c r="D270" s="574">
        <v>0</v>
      </c>
      <c r="E270" s="468"/>
      <c r="F270" s="574">
        <v>0</v>
      </c>
      <c r="G270" s="574">
        <v>0</v>
      </c>
      <c r="H270" s="468"/>
      <c r="I270" s="468"/>
      <c r="J270" s="468"/>
      <c r="K270" s="468"/>
    </row>
    <row r="271" spans="1:11" ht="12.75" customHeight="1" thickTop="1" thickBot="1" x14ac:dyDescent="0.25">
      <c r="A271" s="463" t="s">
        <v>395</v>
      </c>
      <c r="B271" s="470">
        <v>4992</v>
      </c>
      <c r="C271" s="573">
        <v>0</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8763</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8763</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878691</v>
      </c>
      <c r="D275" s="1735">
        <f t="shared" si="12"/>
        <v>131507</v>
      </c>
      <c r="E275" s="1735">
        <f t="shared" si="12"/>
        <v>0</v>
      </c>
      <c r="F275" s="1735">
        <f t="shared" si="12"/>
        <v>4597</v>
      </c>
      <c r="G275" s="1735">
        <f t="shared" si="12"/>
        <v>0</v>
      </c>
      <c r="H275" s="1735">
        <f t="shared" si="12"/>
        <v>0</v>
      </c>
      <c r="I275" s="1735">
        <f t="shared" si="12"/>
        <v>0</v>
      </c>
      <c r="J275" s="1735">
        <f t="shared" si="12"/>
        <v>0</v>
      </c>
      <c r="K275" s="1722">
        <f t="shared" si="12"/>
        <v>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L31" sqref="L3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8"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0"/>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6" t="s">
        <v>315</v>
      </c>
      <c r="B3" s="2177"/>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0</v>
      </c>
      <c r="D5" s="466">
        <v>0</v>
      </c>
      <c r="E5" s="466">
        <v>0</v>
      </c>
      <c r="F5" s="466">
        <v>0</v>
      </c>
      <c r="G5" s="466">
        <v>0</v>
      </c>
      <c r="H5" s="466">
        <v>0</v>
      </c>
      <c r="I5" s="467">
        <v>0</v>
      </c>
      <c r="J5" s="467">
        <v>0</v>
      </c>
      <c r="K5" s="1691">
        <f>SUM(C5:J5)</f>
        <v>0</v>
      </c>
      <c r="L5" s="466">
        <v>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0</v>
      </c>
      <c r="D8" s="466">
        <v>0</v>
      </c>
      <c r="E8" s="466">
        <v>0</v>
      </c>
      <c r="F8" s="466">
        <v>0</v>
      </c>
      <c r="G8" s="466">
        <v>0</v>
      </c>
      <c r="H8" s="466">
        <v>0</v>
      </c>
      <c r="I8" s="467">
        <v>0</v>
      </c>
      <c r="J8" s="467">
        <v>0</v>
      </c>
      <c r="K8" s="1691">
        <f t="shared" si="0"/>
        <v>0</v>
      </c>
      <c r="L8" s="466">
        <v>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0</v>
      </c>
      <c r="D10" s="466">
        <v>0</v>
      </c>
      <c r="E10" s="466">
        <v>0</v>
      </c>
      <c r="F10" s="466">
        <v>0</v>
      </c>
      <c r="G10" s="466">
        <v>0</v>
      </c>
      <c r="H10" s="466">
        <v>0</v>
      </c>
      <c r="I10" s="467">
        <v>0</v>
      </c>
      <c r="J10" s="467">
        <v>0</v>
      </c>
      <c r="K10" s="1691">
        <f t="shared" si="0"/>
        <v>0</v>
      </c>
      <c r="L10" s="466">
        <v>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2958</v>
      </c>
      <c r="F13" s="466">
        <v>50339</v>
      </c>
      <c r="G13" s="466">
        <v>1702</v>
      </c>
      <c r="H13" s="466">
        <v>931</v>
      </c>
      <c r="I13" s="467">
        <v>0</v>
      </c>
      <c r="J13" s="467">
        <v>0</v>
      </c>
      <c r="K13" s="1691">
        <f t="shared" si="0"/>
        <v>55930</v>
      </c>
      <c r="L13" s="466">
        <v>100200</v>
      </c>
    </row>
    <row r="14" spans="1:14" x14ac:dyDescent="0.2">
      <c r="A14" s="1524" t="s">
        <v>1020</v>
      </c>
      <c r="B14" s="613">
        <v>1500</v>
      </c>
      <c r="C14" s="467">
        <v>0</v>
      </c>
      <c r="D14" s="466">
        <v>0</v>
      </c>
      <c r="E14" s="466">
        <v>0</v>
      </c>
      <c r="F14" s="466">
        <v>0</v>
      </c>
      <c r="G14" s="466">
        <v>0</v>
      </c>
      <c r="H14" s="466">
        <v>0</v>
      </c>
      <c r="I14" s="467">
        <v>0</v>
      </c>
      <c r="J14" s="467">
        <v>0</v>
      </c>
      <c r="K14" s="1691">
        <f t="shared" si="0"/>
        <v>0</v>
      </c>
      <c r="L14" s="466">
        <v>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42000</v>
      </c>
      <c r="I27" s="615"/>
      <c r="J27" s="476"/>
      <c r="K27" s="1691">
        <f t="shared" si="0"/>
        <v>42000</v>
      </c>
      <c r="L27" s="466">
        <v>55000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0</v>
      </c>
      <c r="D33" s="1690">
        <f t="shared" ref="D33:L33" si="1">SUM(D5:D32)</f>
        <v>0</v>
      </c>
      <c r="E33" s="1690">
        <f t="shared" si="1"/>
        <v>2958</v>
      </c>
      <c r="F33" s="1690">
        <f t="shared" si="1"/>
        <v>50339</v>
      </c>
      <c r="G33" s="1690">
        <f t="shared" si="1"/>
        <v>1702</v>
      </c>
      <c r="H33" s="1690">
        <f t="shared" si="1"/>
        <v>42931</v>
      </c>
      <c r="I33" s="1690">
        <f t="shared" si="1"/>
        <v>0</v>
      </c>
      <c r="J33" s="1690">
        <f t="shared" si="1"/>
        <v>0</v>
      </c>
      <c r="K33" s="1690">
        <f t="shared" si="1"/>
        <v>97930</v>
      </c>
      <c r="L33" s="1690">
        <f t="shared" si="1"/>
        <v>155200</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0</v>
      </c>
      <c r="F38" s="466">
        <v>0</v>
      </c>
      <c r="G38" s="466">
        <v>0</v>
      </c>
      <c r="H38" s="466">
        <v>0</v>
      </c>
      <c r="I38" s="467">
        <v>0</v>
      </c>
      <c r="J38" s="467">
        <v>0</v>
      </c>
      <c r="K38" s="1691">
        <f t="shared" si="2"/>
        <v>0</v>
      </c>
      <c r="L38" s="466">
        <v>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0</v>
      </c>
      <c r="D42" s="1690">
        <f t="shared" ref="D42:L42" si="3">SUM(D36:D41)</f>
        <v>0</v>
      </c>
      <c r="E42" s="1690">
        <f t="shared" si="3"/>
        <v>0</v>
      </c>
      <c r="F42" s="1690">
        <f t="shared" si="3"/>
        <v>0</v>
      </c>
      <c r="G42" s="1690">
        <f t="shared" si="3"/>
        <v>0</v>
      </c>
      <c r="H42" s="1690">
        <f t="shared" si="3"/>
        <v>0</v>
      </c>
      <c r="I42" s="1690">
        <f t="shared" si="3"/>
        <v>0</v>
      </c>
      <c r="J42" s="1690">
        <f t="shared" si="3"/>
        <v>0</v>
      </c>
      <c r="K42" s="1690">
        <f t="shared" si="3"/>
        <v>0</v>
      </c>
      <c r="L42" s="1690">
        <f t="shared" si="3"/>
        <v>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3876</v>
      </c>
      <c r="F44" s="480">
        <v>0</v>
      </c>
      <c r="G44" s="480">
        <v>0</v>
      </c>
      <c r="H44" s="480">
        <v>612</v>
      </c>
      <c r="I44" s="467">
        <v>0</v>
      </c>
      <c r="J44" s="467">
        <v>0</v>
      </c>
      <c r="K44" s="1692">
        <f>SUM(C44:J44)</f>
        <v>4488</v>
      </c>
      <c r="L44" s="480">
        <v>10200</v>
      </c>
    </row>
    <row r="45" spans="1:14" x14ac:dyDescent="0.2">
      <c r="A45" s="1524" t="s">
        <v>869</v>
      </c>
      <c r="B45" s="613">
        <v>2220</v>
      </c>
      <c r="C45" s="467">
        <v>0</v>
      </c>
      <c r="D45" s="466">
        <v>0</v>
      </c>
      <c r="E45" s="466">
        <v>0</v>
      </c>
      <c r="F45" s="466">
        <v>0</v>
      </c>
      <c r="G45" s="466">
        <v>0</v>
      </c>
      <c r="H45" s="466">
        <v>0</v>
      </c>
      <c r="I45" s="467">
        <v>0</v>
      </c>
      <c r="J45" s="467">
        <v>0</v>
      </c>
      <c r="K45" s="1692">
        <f>SUM(C45:J45)</f>
        <v>0</v>
      </c>
      <c r="L45" s="466">
        <v>0</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0</v>
      </c>
      <c r="D47" s="1690">
        <f t="shared" ref="D47:K47" si="4">SUM(D44:D46)</f>
        <v>0</v>
      </c>
      <c r="E47" s="1690">
        <f t="shared" si="4"/>
        <v>3876</v>
      </c>
      <c r="F47" s="1690">
        <f t="shared" si="4"/>
        <v>0</v>
      </c>
      <c r="G47" s="1690">
        <f t="shared" si="4"/>
        <v>0</v>
      </c>
      <c r="H47" s="1690">
        <f t="shared" si="4"/>
        <v>612</v>
      </c>
      <c r="I47" s="1690">
        <f t="shared" si="4"/>
        <v>0</v>
      </c>
      <c r="J47" s="1690">
        <f t="shared" si="4"/>
        <v>0</v>
      </c>
      <c r="K47" s="1690">
        <f t="shared" si="4"/>
        <v>4488</v>
      </c>
      <c r="L47" s="1690">
        <f>SUM(L44:L46)</f>
        <v>10200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0</v>
      </c>
      <c r="F49" s="480">
        <v>0</v>
      </c>
      <c r="G49" s="480">
        <v>0</v>
      </c>
      <c r="H49" s="480">
        <v>0</v>
      </c>
      <c r="I49" s="467">
        <v>0</v>
      </c>
      <c r="J49" s="467">
        <v>0</v>
      </c>
      <c r="K49" s="1692">
        <f>SUM(C49:J49)</f>
        <v>0</v>
      </c>
      <c r="L49" s="466">
        <v>0</v>
      </c>
    </row>
    <row r="50" spans="1:14" x14ac:dyDescent="0.2">
      <c r="A50" s="1524" t="s">
        <v>872</v>
      </c>
      <c r="B50" s="613">
        <v>2320</v>
      </c>
      <c r="C50" s="466">
        <v>0</v>
      </c>
      <c r="D50" s="466">
        <v>0</v>
      </c>
      <c r="E50" s="466">
        <v>7750</v>
      </c>
      <c r="F50" s="466">
        <v>1401</v>
      </c>
      <c r="G50" s="466">
        <v>1266</v>
      </c>
      <c r="H50" s="466">
        <v>749</v>
      </c>
      <c r="I50" s="467">
        <v>0</v>
      </c>
      <c r="J50" s="467">
        <v>0</v>
      </c>
      <c r="K50" s="1692">
        <f>SUM(C50:J50)</f>
        <v>11166</v>
      </c>
      <c r="L50" s="466">
        <v>21350</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0</v>
      </c>
      <c r="D53" s="1690">
        <f t="shared" ref="D53:L53" si="5">SUM(D49:D52)</f>
        <v>0</v>
      </c>
      <c r="E53" s="1690">
        <f t="shared" si="5"/>
        <v>7750</v>
      </c>
      <c r="F53" s="1690">
        <f t="shared" si="5"/>
        <v>1401</v>
      </c>
      <c r="G53" s="1690">
        <f t="shared" si="5"/>
        <v>1266</v>
      </c>
      <c r="H53" s="1690">
        <f t="shared" si="5"/>
        <v>749</v>
      </c>
      <c r="I53" s="1690">
        <f t="shared" si="5"/>
        <v>0</v>
      </c>
      <c r="J53" s="1690">
        <f t="shared" si="5"/>
        <v>0</v>
      </c>
      <c r="K53" s="1690">
        <f t="shared" si="5"/>
        <v>11166</v>
      </c>
      <c r="L53" s="1690">
        <f t="shared" si="5"/>
        <v>21350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0</v>
      </c>
      <c r="D55" s="480">
        <v>0</v>
      </c>
      <c r="E55" s="480">
        <v>0</v>
      </c>
      <c r="F55" s="480">
        <v>0</v>
      </c>
      <c r="G55" s="480">
        <v>0</v>
      </c>
      <c r="H55" s="480">
        <v>0</v>
      </c>
      <c r="I55" s="467">
        <v>0</v>
      </c>
      <c r="J55" s="467">
        <v>0</v>
      </c>
      <c r="K55" s="1692">
        <f>SUM(C55:J55)</f>
        <v>0</v>
      </c>
      <c r="L55" s="480">
        <v>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0</v>
      </c>
      <c r="D57" s="1694">
        <f t="shared" ref="D57:K57" si="6">SUM(D55:D56)</f>
        <v>0</v>
      </c>
      <c r="E57" s="1694">
        <f t="shared" si="6"/>
        <v>0</v>
      </c>
      <c r="F57" s="1694">
        <f t="shared" si="6"/>
        <v>0</v>
      </c>
      <c r="G57" s="1694">
        <f t="shared" si="6"/>
        <v>0</v>
      </c>
      <c r="H57" s="1694">
        <f t="shared" si="6"/>
        <v>0</v>
      </c>
      <c r="I57" s="1694">
        <f t="shared" si="6"/>
        <v>0</v>
      </c>
      <c r="J57" s="1694">
        <f t="shared" si="6"/>
        <v>0</v>
      </c>
      <c r="K57" s="1694">
        <f t="shared" si="6"/>
        <v>0</v>
      </c>
      <c r="L57" s="1690">
        <f>SUM(L55:L56)</f>
        <v>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0</v>
      </c>
      <c r="D60" s="466">
        <v>0</v>
      </c>
      <c r="E60" s="466">
        <v>0</v>
      </c>
      <c r="F60" s="466">
        <v>0</v>
      </c>
      <c r="G60" s="466">
        <v>0</v>
      </c>
      <c r="H60" s="466">
        <v>0</v>
      </c>
      <c r="I60" s="467">
        <v>0</v>
      </c>
      <c r="J60" s="467">
        <v>0</v>
      </c>
      <c r="K60" s="1692">
        <f t="shared" si="7"/>
        <v>0</v>
      </c>
      <c r="L60" s="466">
        <v>0</v>
      </c>
      <c r="M60" s="608"/>
      <c r="N60" s="608"/>
    </row>
    <row r="61" spans="1:14" s="343" customFormat="1" x14ac:dyDescent="0.2">
      <c r="A61" s="1524" t="s">
        <v>206</v>
      </c>
      <c r="B61" s="613">
        <v>2540</v>
      </c>
      <c r="C61" s="467">
        <v>0</v>
      </c>
      <c r="D61" s="466">
        <v>0</v>
      </c>
      <c r="E61" s="466">
        <v>0</v>
      </c>
      <c r="F61" s="466">
        <v>0</v>
      </c>
      <c r="G61" s="466">
        <v>0</v>
      </c>
      <c r="H61" s="466">
        <v>0</v>
      </c>
      <c r="I61" s="467">
        <v>0</v>
      </c>
      <c r="J61" s="467">
        <v>0</v>
      </c>
      <c r="K61" s="1692">
        <f t="shared" si="7"/>
        <v>0</v>
      </c>
      <c r="L61" s="466">
        <v>5000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0</v>
      </c>
      <c r="D63" s="466">
        <v>0</v>
      </c>
      <c r="E63" s="466">
        <v>0</v>
      </c>
      <c r="F63" s="466">
        <v>0</v>
      </c>
      <c r="G63" s="466">
        <v>0</v>
      </c>
      <c r="H63" s="466">
        <v>0</v>
      </c>
      <c r="I63" s="467">
        <v>0</v>
      </c>
      <c r="J63" s="467">
        <v>0</v>
      </c>
      <c r="K63" s="1692">
        <f t="shared" si="7"/>
        <v>0</v>
      </c>
      <c r="L63" s="466">
        <v>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0</v>
      </c>
      <c r="D65" s="1690">
        <f t="shared" ref="D65:L65" si="8">SUM(D59:D64)</f>
        <v>0</v>
      </c>
      <c r="E65" s="1690">
        <f t="shared" si="8"/>
        <v>0</v>
      </c>
      <c r="F65" s="1690">
        <f t="shared" si="8"/>
        <v>0</v>
      </c>
      <c r="G65" s="1690">
        <f t="shared" si="8"/>
        <v>0</v>
      </c>
      <c r="H65" s="1690">
        <f t="shared" si="8"/>
        <v>0</v>
      </c>
      <c r="I65" s="1690">
        <f t="shared" si="8"/>
        <v>0</v>
      </c>
      <c r="J65" s="1690">
        <f t="shared" si="8"/>
        <v>0</v>
      </c>
      <c r="K65" s="1690">
        <f t="shared" si="8"/>
        <v>0</v>
      </c>
      <c r="L65" s="1690">
        <f t="shared" si="8"/>
        <v>5000</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150</v>
      </c>
      <c r="G69" s="466">
        <v>0</v>
      </c>
      <c r="H69" s="466">
        <v>0</v>
      </c>
      <c r="I69" s="467">
        <v>0</v>
      </c>
      <c r="J69" s="467">
        <v>0</v>
      </c>
      <c r="K69" s="1692">
        <f>SUM(C69:J69)</f>
        <v>150</v>
      </c>
      <c r="L69" s="466">
        <v>1500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150</v>
      </c>
      <c r="G72" s="1690">
        <f t="shared" si="9"/>
        <v>0</v>
      </c>
      <c r="H72" s="1690">
        <f t="shared" si="9"/>
        <v>0</v>
      </c>
      <c r="I72" s="1690">
        <f t="shared" si="9"/>
        <v>0</v>
      </c>
      <c r="J72" s="1690">
        <f t="shared" si="9"/>
        <v>0</v>
      </c>
      <c r="K72" s="1690">
        <f t="shared" si="9"/>
        <v>150</v>
      </c>
      <c r="L72" s="1690">
        <f>SUM(L67:L71)</f>
        <v>1500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0</v>
      </c>
      <c r="D74" s="1697">
        <f t="shared" ref="D74:K74" si="10">SUM(D42,D47,D53,D57,D65,D72,D73)</f>
        <v>0</v>
      </c>
      <c r="E74" s="1697">
        <f t="shared" si="10"/>
        <v>11626</v>
      </c>
      <c r="F74" s="1697">
        <f t="shared" si="10"/>
        <v>1551</v>
      </c>
      <c r="G74" s="1697">
        <f t="shared" si="10"/>
        <v>1266</v>
      </c>
      <c r="H74" s="1697">
        <f t="shared" si="10"/>
        <v>1361</v>
      </c>
      <c r="I74" s="1697">
        <f t="shared" si="10"/>
        <v>0</v>
      </c>
      <c r="J74" s="1697">
        <f t="shared" si="10"/>
        <v>0</v>
      </c>
      <c r="K74" s="1697">
        <f t="shared" si="10"/>
        <v>15804</v>
      </c>
      <c r="L74" s="1697">
        <f>SUM(L42,L47,L53,L57,L65,L72,L73)</f>
        <v>38050</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0</v>
      </c>
      <c r="I79" s="476"/>
      <c r="J79" s="476"/>
      <c r="K79" s="1691">
        <f t="shared" si="11"/>
        <v>0</v>
      </c>
      <c r="L79" s="466">
        <v>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702517</v>
      </c>
      <c r="F81" s="615"/>
      <c r="G81" s="615"/>
      <c r="H81" s="466">
        <v>0</v>
      </c>
      <c r="I81" s="476"/>
      <c r="J81" s="476"/>
      <c r="K81" s="1691">
        <f t="shared" si="11"/>
        <v>702517</v>
      </c>
      <c r="L81" s="466">
        <v>737786</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702517</v>
      </c>
      <c r="F84" s="615"/>
      <c r="G84" s="615"/>
      <c r="H84" s="1690">
        <f>SUM(H78:H83)</f>
        <v>0</v>
      </c>
      <c r="I84" s="476"/>
      <c r="J84" s="476"/>
      <c r="K84" s="1690">
        <f>SUM(K78:K83)</f>
        <v>702517</v>
      </c>
      <c r="L84" s="1690">
        <f>SUM(L78:L83)</f>
        <v>737786</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0</v>
      </c>
      <c r="I86" s="476"/>
      <c r="J86" s="476"/>
      <c r="K86" s="1697">
        <f t="shared" ref="K86:K98" si="12">H86</f>
        <v>0</v>
      </c>
      <c r="L86" s="528">
        <v>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0</v>
      </c>
      <c r="I92" s="476"/>
      <c r="J92" s="476"/>
      <c r="K92" s="1697">
        <f t="shared" si="12"/>
        <v>0</v>
      </c>
      <c r="L92" s="1690">
        <f>SUM(L85:L91)</f>
        <v>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702517</v>
      </c>
      <c r="F102" s="615"/>
      <c r="G102" s="615"/>
      <c r="H102" s="1697">
        <f>SUM(H84,H92,H100,H101)</f>
        <v>0</v>
      </c>
      <c r="I102" s="476"/>
      <c r="J102" s="476"/>
      <c r="K102" s="1697">
        <f>SUM(K84,K92,K100,K101)</f>
        <v>702517</v>
      </c>
      <c r="L102" s="1697">
        <f>SUM(L84,L92,L100,L101)</f>
        <v>737786</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1000</v>
      </c>
      <c r="M113" s="612"/>
      <c r="N113" s="612"/>
    </row>
    <row r="114" spans="1:14" ht="12.75" customHeight="1" thickTop="1" thickBot="1" x14ac:dyDescent="0.25">
      <c r="A114" s="1688" t="s">
        <v>50</v>
      </c>
      <c r="B114" s="1702"/>
      <c r="C114" s="1690">
        <f>SUM(C33,C74,C75,C102,C112,C113)</f>
        <v>0</v>
      </c>
      <c r="D114" s="1690">
        <f t="shared" ref="D114:K114" si="13">SUM(D33,D74,D75,D102,D112,D113)</f>
        <v>0</v>
      </c>
      <c r="E114" s="1690">
        <f t="shared" si="13"/>
        <v>717101</v>
      </c>
      <c r="F114" s="1690">
        <f t="shared" si="13"/>
        <v>51890</v>
      </c>
      <c r="G114" s="1690">
        <f t="shared" si="13"/>
        <v>2968</v>
      </c>
      <c r="H114" s="1690">
        <f>SUM(H33,H74,H75,H102,H112,H113)</f>
        <v>44292</v>
      </c>
      <c r="I114" s="1690">
        <f t="shared" si="13"/>
        <v>0</v>
      </c>
      <c r="J114" s="1690">
        <f t="shared" si="13"/>
        <v>0</v>
      </c>
      <c r="K114" s="1690">
        <f t="shared" si="13"/>
        <v>816251</v>
      </c>
      <c r="L114" s="1690">
        <f>SUM(L33,L74,L75,L102,L112,L113)</f>
        <v>932036</v>
      </c>
    </row>
    <row r="115" spans="1:14" ht="13.5" thickTop="1" x14ac:dyDescent="0.2">
      <c r="A115" s="2195" t="s">
        <v>1053</v>
      </c>
      <c r="B115" s="2196"/>
      <c r="C115" s="617"/>
      <c r="D115" s="617"/>
      <c r="E115" s="617"/>
      <c r="F115" s="617"/>
      <c r="G115" s="617"/>
      <c r="H115" s="617"/>
      <c r="I115" s="617"/>
      <c r="J115" s="617"/>
      <c r="K115" s="1704">
        <f>'Revenues 9-14'!C275-'Expenditures 15-22'!K114</f>
        <v>62440</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3" t="s">
        <v>314</v>
      </c>
      <c r="B117" s="2174"/>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10000</v>
      </c>
    </row>
    <row r="124" spans="1:14" ht="14.25" thickTop="1" thickBot="1" x14ac:dyDescent="0.25">
      <c r="A124" s="1524" t="s">
        <v>206</v>
      </c>
      <c r="B124" s="613">
        <v>2540</v>
      </c>
      <c r="C124" s="466">
        <v>0</v>
      </c>
      <c r="D124" s="466">
        <v>0</v>
      </c>
      <c r="E124" s="466">
        <v>21652</v>
      </c>
      <c r="F124" s="466">
        <v>28773</v>
      </c>
      <c r="G124" s="466">
        <v>0</v>
      </c>
      <c r="H124" s="466">
        <v>0</v>
      </c>
      <c r="I124" s="467">
        <v>0</v>
      </c>
      <c r="J124" s="467">
        <v>0</v>
      </c>
      <c r="K124" s="1690">
        <f>SUM(C124:J124)</f>
        <v>50425</v>
      </c>
      <c r="L124" s="466">
        <v>120688</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0</v>
      </c>
      <c r="D127" s="1690">
        <f t="shared" ref="D127:L127" si="14">SUM(D122:D126)</f>
        <v>0</v>
      </c>
      <c r="E127" s="1690">
        <f t="shared" si="14"/>
        <v>21652</v>
      </c>
      <c r="F127" s="1690">
        <f t="shared" si="14"/>
        <v>28773</v>
      </c>
      <c r="G127" s="1690">
        <f t="shared" si="14"/>
        <v>0</v>
      </c>
      <c r="H127" s="1690">
        <f t="shared" si="14"/>
        <v>0</v>
      </c>
      <c r="I127" s="1690">
        <f t="shared" si="14"/>
        <v>0</v>
      </c>
      <c r="J127" s="1690">
        <f t="shared" si="14"/>
        <v>0</v>
      </c>
      <c r="K127" s="1690">
        <f t="shared" si="14"/>
        <v>50425</v>
      </c>
      <c r="L127" s="1690">
        <f t="shared" si="14"/>
        <v>130688</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0</v>
      </c>
      <c r="D129" s="1697">
        <f t="shared" ref="D129:L129" si="15">SUM(D120,D127,D128)</f>
        <v>0</v>
      </c>
      <c r="E129" s="1697">
        <f t="shared" si="15"/>
        <v>21652</v>
      </c>
      <c r="F129" s="1697">
        <f t="shared" si="15"/>
        <v>28773</v>
      </c>
      <c r="G129" s="1697">
        <f t="shared" si="15"/>
        <v>0</v>
      </c>
      <c r="H129" s="1697">
        <f t="shared" si="15"/>
        <v>0</v>
      </c>
      <c r="I129" s="1697">
        <f t="shared" si="15"/>
        <v>0</v>
      </c>
      <c r="J129" s="1697">
        <f t="shared" si="15"/>
        <v>0</v>
      </c>
      <c r="K129" s="1697">
        <f t="shared" si="15"/>
        <v>50425</v>
      </c>
      <c r="L129" s="1697">
        <f t="shared" si="15"/>
        <v>130688</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107162</v>
      </c>
      <c r="F135" s="615"/>
      <c r="G135" s="615"/>
      <c r="H135" s="466">
        <v>0</v>
      </c>
      <c r="I135" s="476"/>
      <c r="J135" s="615"/>
      <c r="K135" s="1692">
        <f>SUM(E135,H135)</f>
        <v>107162</v>
      </c>
      <c r="L135" s="466">
        <v>116662</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107162</v>
      </c>
      <c r="F137" s="615"/>
      <c r="G137" s="615"/>
      <c r="H137" s="1690">
        <f>SUM(H133:H136)</f>
        <v>0</v>
      </c>
      <c r="I137" s="476"/>
      <c r="J137" s="615"/>
      <c r="K137" s="1690">
        <f>SUM(K133:K136)</f>
        <v>107162</v>
      </c>
      <c r="L137" s="1690">
        <f>SUM(L133:L136)</f>
        <v>116662</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107162</v>
      </c>
      <c r="F139" s="615"/>
      <c r="G139" s="615"/>
      <c r="H139" s="1699">
        <f>SUM(H137:H138)</f>
        <v>0</v>
      </c>
      <c r="I139" s="476"/>
      <c r="J139" s="615"/>
      <c r="K139" s="1692">
        <f>SUM(K137,K138)</f>
        <v>107162</v>
      </c>
      <c r="L139" s="1699">
        <f>SUM(L137,L138)</f>
        <v>116662</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1000</v>
      </c>
    </row>
    <row r="151" spans="1:14" ht="12.75" customHeight="1" thickTop="1" thickBot="1" x14ac:dyDescent="0.25">
      <c r="A151" s="2185" t="s">
        <v>641</v>
      </c>
      <c r="B151" s="2167"/>
      <c r="C151" s="1690">
        <f>SUM(C129,C130,C139,C149,C150)</f>
        <v>0</v>
      </c>
      <c r="D151" s="1690">
        <f t="shared" ref="D151:K151" si="16">SUM(D129,D130,D139,D149,D150)</f>
        <v>0</v>
      </c>
      <c r="E151" s="1690">
        <f t="shared" si="16"/>
        <v>128814</v>
      </c>
      <c r="F151" s="1690">
        <f t="shared" si="16"/>
        <v>28773</v>
      </c>
      <c r="G151" s="1690">
        <f t="shared" si="16"/>
        <v>0</v>
      </c>
      <c r="H151" s="1690">
        <f t="shared" si="16"/>
        <v>0</v>
      </c>
      <c r="I151" s="1690">
        <f t="shared" si="16"/>
        <v>0</v>
      </c>
      <c r="J151" s="1690">
        <f t="shared" si="16"/>
        <v>0</v>
      </c>
      <c r="K151" s="1690">
        <f t="shared" si="16"/>
        <v>157587</v>
      </c>
      <c r="L151" s="1690">
        <f>SUM(L129,L130,L139,L149,L150)</f>
        <v>248350</v>
      </c>
    </row>
    <row r="152" spans="1:14" ht="12.75" customHeight="1" thickTop="1" x14ac:dyDescent="0.2">
      <c r="A152" s="2188" t="s">
        <v>1240</v>
      </c>
      <c r="B152" s="2189"/>
      <c r="C152" s="617"/>
      <c r="D152" s="617"/>
      <c r="E152" s="617"/>
      <c r="F152" s="617"/>
      <c r="G152" s="617"/>
      <c r="H152" s="617"/>
      <c r="I152" s="617"/>
      <c r="J152" s="615"/>
      <c r="K152" s="1704">
        <f>'Revenues 9-14'!D275-'Expenditures 15-22'!K151</f>
        <v>-26080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3" t="s">
        <v>642</v>
      </c>
      <c r="B154" s="2175"/>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0</v>
      </c>
      <c r="I169" s="615"/>
      <c r="J169" s="615"/>
      <c r="K169" s="1691">
        <f>SUM(C169:H169)</f>
        <v>0</v>
      </c>
      <c r="L169" s="655">
        <v>0</v>
      </c>
    </row>
    <row r="170" spans="1:14" ht="33.75" customHeight="1" x14ac:dyDescent="0.2">
      <c r="A170" s="668" t="s">
        <v>1769</v>
      </c>
      <c r="B170" s="670" t="s">
        <v>31</v>
      </c>
      <c r="C170" s="615"/>
      <c r="D170" s="615"/>
      <c r="E170" s="615"/>
      <c r="F170" s="615"/>
      <c r="G170" s="615"/>
      <c r="H170" s="567">
        <v>0</v>
      </c>
      <c r="I170" s="615"/>
      <c r="J170" s="615"/>
      <c r="K170" s="1691">
        <f>SUM(C170:J170)</f>
        <v>0</v>
      </c>
      <c r="L170" s="567">
        <v>0</v>
      </c>
    </row>
    <row r="171" spans="1:14" ht="15.7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0</v>
      </c>
      <c r="I172" s="637"/>
      <c r="J172" s="615"/>
      <c r="K172" s="1697">
        <f>SUM(K168,K169,K170,K171)</f>
        <v>0</v>
      </c>
      <c r="L172" s="1697">
        <f>SUM(L168,L169,L170,L171)</f>
        <v>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0</v>
      </c>
      <c r="I174" s="637"/>
      <c r="J174" s="615"/>
      <c r="K174" s="1697">
        <f>SUM(K160,K172,K173)</f>
        <v>0</v>
      </c>
      <c r="L174" s="1697">
        <f>SUM(L160,L172,L173)</f>
        <v>0</v>
      </c>
    </row>
    <row r="175" spans="1:14" ht="13.5" thickTop="1" x14ac:dyDescent="0.2">
      <c r="A175" s="2195" t="s">
        <v>1053</v>
      </c>
      <c r="B175" s="2196"/>
      <c r="C175" s="615"/>
      <c r="D175" s="615"/>
      <c r="E175" s="615"/>
      <c r="F175" s="615"/>
      <c r="G175" s="615"/>
      <c r="H175" s="617"/>
      <c r="I175" s="615"/>
      <c r="J175" s="615"/>
      <c r="K175" s="1704">
        <f>'Revenues 9-14'!E275-'Expenditures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2174</v>
      </c>
      <c r="F182" s="467">
        <v>0</v>
      </c>
      <c r="G182" s="467">
        <v>0</v>
      </c>
      <c r="H182" s="466">
        <v>0</v>
      </c>
      <c r="I182" s="467">
        <v>0</v>
      </c>
      <c r="J182" s="467">
        <v>0</v>
      </c>
      <c r="K182" s="1691">
        <f>SUM(C182:J182)</f>
        <v>2174</v>
      </c>
      <c r="L182" s="466">
        <v>4650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2174</v>
      </c>
      <c r="F184" s="1697">
        <f t="shared" si="17"/>
        <v>0</v>
      </c>
      <c r="G184" s="1697">
        <f t="shared" si="17"/>
        <v>0</v>
      </c>
      <c r="H184" s="1697">
        <f t="shared" si="17"/>
        <v>0</v>
      </c>
      <c r="I184" s="1697">
        <f t="shared" si="17"/>
        <v>0</v>
      </c>
      <c r="J184" s="1697">
        <f t="shared" si="17"/>
        <v>0</v>
      </c>
      <c r="K184" s="1697">
        <f>SUM(K180,K182,K183)</f>
        <v>2174</v>
      </c>
      <c r="L184" s="1697">
        <f>SUM(L180, L182:L183)</f>
        <v>4650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3686</v>
      </c>
      <c r="F191" s="615"/>
      <c r="G191" s="615"/>
      <c r="H191" s="466">
        <v>0</v>
      </c>
      <c r="I191" s="476"/>
      <c r="J191" s="615"/>
      <c r="K191" s="1691">
        <f t="shared" si="18"/>
        <v>3686</v>
      </c>
      <c r="L191" s="466">
        <v>8702</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3686</v>
      </c>
      <c r="F194" s="615"/>
      <c r="G194" s="615"/>
      <c r="H194" s="1690">
        <f>SUM(H188:H193)</f>
        <v>0</v>
      </c>
      <c r="I194" s="476"/>
      <c r="J194" s="615"/>
      <c r="K194" s="1690">
        <f>SUM(K188:K193)</f>
        <v>3686</v>
      </c>
      <c r="L194" s="1690">
        <f>SUM(L188:L193)</f>
        <v>8702</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3686</v>
      </c>
      <c r="F196" s="615"/>
      <c r="G196" s="615"/>
      <c r="H196" s="1697">
        <f>SUM(H194,H195)</f>
        <v>0</v>
      </c>
      <c r="I196" s="476"/>
      <c r="J196" s="615"/>
      <c r="K196" s="1697">
        <f>SUM(K194,K195)</f>
        <v>3686</v>
      </c>
      <c r="L196" s="1697">
        <f>SUM(L194,L195)</f>
        <v>8702</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1000</v>
      </c>
    </row>
    <row r="210" spans="1:14" ht="12.75" customHeight="1" thickTop="1" thickBot="1" x14ac:dyDescent="0.25">
      <c r="A210" s="1712" t="s">
        <v>295</v>
      </c>
      <c r="B210" s="1713"/>
      <c r="C210" s="1690">
        <f>SUM(C184,C185)</f>
        <v>0</v>
      </c>
      <c r="D210" s="1690">
        <f>SUM(D184,D185)</f>
        <v>0</v>
      </c>
      <c r="E210" s="1690">
        <f>SUM(E184,E185,E196)</f>
        <v>5860</v>
      </c>
      <c r="F210" s="1690">
        <f>SUM(F184,F185)</f>
        <v>0</v>
      </c>
      <c r="G210" s="1690">
        <f>SUM(G184,G185)</f>
        <v>0</v>
      </c>
      <c r="H210" s="1690">
        <f>SUM(H184,H185,H196,H208,H209)</f>
        <v>0</v>
      </c>
      <c r="I210" s="1690">
        <f>SUM(I184,I185)</f>
        <v>0</v>
      </c>
      <c r="J210" s="1690">
        <f>SUM(J184,J185)</f>
        <v>0</v>
      </c>
      <c r="K210" s="1691">
        <f>SUM(K184,K185,K196,K208,K209)</f>
        <v>5860</v>
      </c>
      <c r="L210" s="1690">
        <f>SUM(L184,L185,L196,L208,L209)</f>
        <v>14352</v>
      </c>
    </row>
    <row r="211" spans="1:14" ht="13.5" thickTop="1" x14ac:dyDescent="0.2">
      <c r="A211" s="2195" t="s">
        <v>1053</v>
      </c>
      <c r="B211" s="2196"/>
      <c r="C211" s="617"/>
      <c r="D211" s="617"/>
      <c r="E211" s="617"/>
      <c r="F211" s="617"/>
      <c r="G211" s="617"/>
      <c r="H211" s="617"/>
      <c r="I211" s="615"/>
      <c r="J211" s="615"/>
      <c r="K211" s="1704">
        <f>'Revenues 9-14'!F275-'Expenditures 15-22'!K210</f>
        <v>-1263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0" t="s">
        <v>1022</v>
      </c>
      <c r="B213" s="2191"/>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0</v>
      </c>
      <c r="E215" s="615"/>
      <c r="F215" s="615"/>
      <c r="G215" s="615"/>
      <c r="H215" s="615"/>
      <c r="I215" s="615"/>
      <c r="J215" s="615"/>
      <c r="K215" s="1691">
        <f>D215</f>
        <v>0</v>
      </c>
      <c r="L215" s="466">
        <v>0</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0</v>
      </c>
      <c r="E217" s="615"/>
      <c r="F217" s="615"/>
      <c r="G217" s="615"/>
      <c r="H217" s="615"/>
      <c r="I217" s="615"/>
      <c r="J217" s="615"/>
      <c r="K217" s="1691">
        <f t="shared" si="19"/>
        <v>0</v>
      </c>
      <c r="L217" s="466">
        <v>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0</v>
      </c>
      <c r="E223" s="615"/>
      <c r="F223" s="615"/>
      <c r="G223" s="615"/>
      <c r="H223" s="615"/>
      <c r="I223" s="615"/>
      <c r="J223" s="615"/>
      <c r="K223" s="1691">
        <f t="shared" si="19"/>
        <v>0</v>
      </c>
      <c r="L223" s="466">
        <v>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0</v>
      </c>
      <c r="E229" s="615"/>
      <c r="F229" s="615"/>
      <c r="G229" s="615"/>
      <c r="H229" s="615"/>
      <c r="I229" s="615"/>
      <c r="J229" s="615"/>
      <c r="K229" s="1690">
        <f>SUM(K215:K228)</f>
        <v>0</v>
      </c>
      <c r="L229" s="1690">
        <f>SUM(L215:L228)</f>
        <v>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0</v>
      </c>
      <c r="E238" s="615"/>
      <c r="F238" s="615"/>
      <c r="G238" s="615"/>
      <c r="H238" s="615"/>
      <c r="I238" s="615"/>
      <c r="J238" s="615"/>
      <c r="K238" s="1690">
        <f>SUM(K232:K237)</f>
        <v>0</v>
      </c>
      <c r="L238" s="1690">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0</v>
      </c>
      <c r="E241" s="615"/>
      <c r="F241" s="615"/>
      <c r="G241" s="615"/>
      <c r="H241" s="615"/>
      <c r="I241" s="615"/>
      <c r="J241" s="615"/>
      <c r="K241" s="1692">
        <f>D241</f>
        <v>0</v>
      </c>
      <c r="L241" s="466">
        <v>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0</v>
      </c>
      <c r="E243" s="615"/>
      <c r="F243" s="615"/>
      <c r="G243" s="615"/>
      <c r="H243" s="615"/>
      <c r="I243" s="615"/>
      <c r="J243" s="615"/>
      <c r="K243" s="1690">
        <f>SUM(K240:K242)</f>
        <v>0</v>
      </c>
      <c r="L243" s="1690">
        <f>SUM(L240:L242)</f>
        <v>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2">
        <f>D245</f>
        <v>0</v>
      </c>
      <c r="L245" s="480">
        <v>0</v>
      </c>
    </row>
    <row r="246" spans="1:12" x14ac:dyDescent="0.2">
      <c r="A246" s="1524" t="s">
        <v>872</v>
      </c>
      <c r="B246" s="613">
        <v>2320</v>
      </c>
      <c r="C246" s="615"/>
      <c r="D246" s="466">
        <v>0</v>
      </c>
      <c r="E246" s="615"/>
      <c r="F246" s="615"/>
      <c r="G246" s="615"/>
      <c r="H246" s="615"/>
      <c r="I246" s="615"/>
      <c r="J246" s="615"/>
      <c r="K246" s="1692">
        <f t="shared" ref="K246:K256" si="21">D246</f>
        <v>0</v>
      </c>
      <c r="L246" s="466">
        <v>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0</v>
      </c>
      <c r="E257" s="615"/>
      <c r="F257" s="615"/>
      <c r="G257" s="615"/>
      <c r="H257" s="615"/>
      <c r="I257" s="615"/>
      <c r="J257" s="615"/>
      <c r="K257" s="1690">
        <f>SUM(K245:K256)</f>
        <v>0</v>
      </c>
      <c r="L257" s="1690">
        <f>SUM(L245:L256)</f>
        <v>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0</v>
      </c>
      <c r="E259" s="615"/>
      <c r="F259" s="615"/>
      <c r="G259" s="615"/>
      <c r="H259" s="615"/>
      <c r="I259" s="615"/>
      <c r="J259" s="615"/>
      <c r="K259" s="1692">
        <f>D259</f>
        <v>0</v>
      </c>
      <c r="L259" s="480">
        <v>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0</v>
      </c>
      <c r="E261" s="615"/>
      <c r="F261" s="615"/>
      <c r="G261" s="615"/>
      <c r="H261" s="615"/>
      <c r="I261" s="615"/>
      <c r="J261" s="615"/>
      <c r="K261" s="1690">
        <f>SUM(K259:K260)</f>
        <v>0</v>
      </c>
      <c r="L261" s="1690">
        <f>SUM(L259:L260)</f>
        <v>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0</v>
      </c>
      <c r="E264" s="615"/>
      <c r="F264" s="615"/>
      <c r="G264" s="615"/>
      <c r="H264" s="615"/>
      <c r="I264" s="615"/>
      <c r="J264" s="615"/>
      <c r="K264" s="1692">
        <f t="shared" ref="K264:K269" si="22">D264</f>
        <v>0</v>
      </c>
      <c r="L264" s="466">
        <v>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0</v>
      </c>
      <c r="E266" s="615"/>
      <c r="F266" s="615"/>
      <c r="G266" s="615"/>
      <c r="H266" s="615"/>
      <c r="I266" s="615"/>
      <c r="J266" s="615"/>
      <c r="K266" s="1692">
        <f t="shared" si="22"/>
        <v>0</v>
      </c>
      <c r="L266" s="466">
        <v>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0</v>
      </c>
      <c r="E268" s="615"/>
      <c r="F268" s="615"/>
      <c r="G268" s="615"/>
      <c r="H268" s="615"/>
      <c r="I268" s="615"/>
      <c r="J268" s="615"/>
      <c r="K268" s="1692">
        <f t="shared" si="22"/>
        <v>0</v>
      </c>
      <c r="L268" s="466">
        <v>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0</v>
      </c>
      <c r="E270" s="615"/>
      <c r="F270" s="615"/>
      <c r="G270" s="615"/>
      <c r="H270" s="615"/>
      <c r="I270" s="615"/>
      <c r="J270" s="615"/>
      <c r="K270" s="1690">
        <f>SUM(K263:K269)</f>
        <v>0</v>
      </c>
      <c r="L270" s="1690">
        <f>SUM(L263:L269)</f>
        <v>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0</v>
      </c>
      <c r="E279" s="615"/>
      <c r="F279" s="615"/>
      <c r="G279" s="615"/>
      <c r="H279" s="615"/>
      <c r="I279" s="615"/>
      <c r="J279" s="615"/>
      <c r="K279" s="1697">
        <f>SUM(K238,K243,K257,K261,K270,K277,K278)</f>
        <v>0</v>
      </c>
      <c r="L279" s="1697">
        <f>SUM(L238,L243,L257,L261,L270,L277,L278)</f>
        <v>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6" t="s">
        <v>526</v>
      </c>
      <c r="B295" s="2187"/>
      <c r="C295" s="615"/>
      <c r="D295" s="1690">
        <f>SUM(D229,D279,D280,D285)</f>
        <v>0</v>
      </c>
      <c r="E295" s="615"/>
      <c r="F295" s="615"/>
      <c r="G295" s="615"/>
      <c r="H295" s="1690">
        <f>H293</f>
        <v>0</v>
      </c>
      <c r="I295" s="615"/>
      <c r="J295" s="615"/>
      <c r="K295" s="1690">
        <f>SUM(K229,K279,K280,K285,K293,K294)</f>
        <v>0</v>
      </c>
      <c r="L295" s="1690">
        <f>SUM(L229,L279,L280,L285,L293,L294)</f>
        <v>0</v>
      </c>
    </row>
    <row r="296" spans="1:14" ht="13.5" thickTop="1" x14ac:dyDescent="0.2">
      <c r="A296" s="2195" t="s">
        <v>1053</v>
      </c>
      <c r="B296" s="2196"/>
      <c r="C296" s="615"/>
      <c r="D296" s="617"/>
      <c r="E296" s="615"/>
      <c r="F296" s="615"/>
      <c r="G296" s="615"/>
      <c r="H296" s="686"/>
      <c r="I296" s="615"/>
      <c r="J296" s="615"/>
      <c r="K296" s="1704">
        <f>'Revenues 9-14'!G275-'Expenditures 15-22'!K295</f>
        <v>0</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78" t="s">
        <v>145</v>
      </c>
      <c r="B298" s="2172"/>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3" t="s">
        <v>295</v>
      </c>
      <c r="B312" s="2184"/>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79" t="s">
        <v>1053</v>
      </c>
      <c r="B313" s="2180"/>
      <c r="C313" s="625"/>
      <c r="D313" s="625"/>
      <c r="E313" s="625"/>
      <c r="F313" s="625"/>
      <c r="G313" s="625"/>
      <c r="H313" s="625"/>
      <c r="I313" s="625"/>
      <c r="J313" s="625"/>
      <c r="K313" s="1705">
        <f>'Revenues 9-14'!H275-'Expenditures 15-22'!K312</f>
        <v>0</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2" t="s">
        <v>151</v>
      </c>
      <c r="B315" s="2193"/>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4" t="s">
        <v>954</v>
      </c>
      <c r="B317" s="2193"/>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0</v>
      </c>
      <c r="F320" s="467">
        <v>0</v>
      </c>
      <c r="G320" s="467">
        <v>0</v>
      </c>
      <c r="H320" s="467">
        <v>0</v>
      </c>
      <c r="I320" s="467">
        <v>0</v>
      </c>
      <c r="J320" s="467">
        <v>0</v>
      </c>
      <c r="K320" s="1691">
        <f t="shared" ref="K320:K327" si="24">SUM(C320:J320)</f>
        <v>0</v>
      </c>
      <c r="L320" s="467">
        <v>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0</v>
      </c>
      <c r="F322" s="467">
        <v>0</v>
      </c>
      <c r="G322" s="467">
        <v>0</v>
      </c>
      <c r="H322" s="467">
        <v>0</v>
      </c>
      <c r="I322" s="467">
        <v>0</v>
      </c>
      <c r="J322" s="467">
        <v>0</v>
      </c>
      <c r="K322" s="1691">
        <f t="shared" si="24"/>
        <v>0</v>
      </c>
      <c r="L322" s="467">
        <v>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0</v>
      </c>
      <c r="F325" s="467">
        <v>0</v>
      </c>
      <c r="G325" s="467">
        <v>0</v>
      </c>
      <c r="H325" s="467">
        <v>0</v>
      </c>
      <c r="I325" s="467">
        <v>0</v>
      </c>
      <c r="J325" s="467">
        <v>0</v>
      </c>
      <c r="K325" s="1691">
        <f t="shared" si="24"/>
        <v>0</v>
      </c>
      <c r="L325" s="467">
        <v>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0</v>
      </c>
      <c r="F330" s="1690">
        <f t="shared" si="25"/>
        <v>0</v>
      </c>
      <c r="G330" s="1690">
        <f t="shared" si="25"/>
        <v>0</v>
      </c>
      <c r="H330" s="1690">
        <f t="shared" si="25"/>
        <v>0</v>
      </c>
      <c r="I330" s="1690">
        <f t="shared" si="25"/>
        <v>0</v>
      </c>
      <c r="J330" s="1690">
        <f t="shared" si="25"/>
        <v>0</v>
      </c>
      <c r="K330" s="1690">
        <f>SUM(K319:K329)</f>
        <v>0</v>
      </c>
      <c r="L330" s="1690">
        <f>SUM(L319:L329)</f>
        <v>0</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0</v>
      </c>
      <c r="F342" s="1690">
        <f>SUM(F330)</f>
        <v>0</v>
      </c>
      <c r="G342" s="1690">
        <f>SUM(G330)</f>
        <v>0</v>
      </c>
      <c r="H342" s="1690">
        <f>SUM(H330,H334,H340)</f>
        <v>0</v>
      </c>
      <c r="I342" s="1690">
        <f>SUM(I330)</f>
        <v>0</v>
      </c>
      <c r="J342" s="1690">
        <f>SUM(J330)</f>
        <v>0</v>
      </c>
      <c r="K342" s="1690">
        <f>SUM(K330,K334,K340)</f>
        <v>0</v>
      </c>
      <c r="L342" s="1697">
        <f>SUM(L330,L340,L341)</f>
        <v>0</v>
      </c>
    </row>
    <row r="343" spans="1:14" ht="12.75" customHeight="1" thickTop="1" x14ac:dyDescent="0.2">
      <c r="A343" s="2181" t="s">
        <v>1053</v>
      </c>
      <c r="B343" s="2182"/>
      <c r="C343" s="615"/>
      <c r="D343" s="615"/>
      <c r="E343" s="615"/>
      <c r="F343" s="615"/>
      <c r="G343" s="615"/>
      <c r="H343" s="615"/>
      <c r="I343" s="615"/>
      <c r="J343" s="615"/>
      <c r="K343" s="1704">
        <f>'Revenues 9-14'!J275-'Expenditures 15-22'!K342</f>
        <v>0</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1" t="s">
        <v>1023</v>
      </c>
      <c r="B345" s="2172"/>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0</v>
      </c>
    </row>
    <row r="368" spans="1:14" ht="13.5" thickTop="1" x14ac:dyDescent="0.2">
      <c r="A368" s="2195" t="s">
        <v>1053</v>
      </c>
      <c r="B368" s="2196"/>
      <c r="C368" s="653"/>
      <c r="D368" s="653"/>
      <c r="E368" s="625"/>
      <c r="F368" s="625"/>
      <c r="G368" s="625"/>
      <c r="H368" s="625"/>
      <c r="I368" s="625"/>
      <c r="J368" s="622"/>
      <c r="K368" s="1691">
        <f>'Revenues 9-14'!K275-'Expenditures 15-22'!K367</f>
        <v>0</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7" t="s">
        <v>1904</v>
      </c>
      <c r="B2" s="1548" t="s">
        <v>2036</v>
      </c>
      <c r="C2" s="713" t="s">
        <v>1909</v>
      </c>
      <c r="D2" s="713" t="s">
        <v>1910</v>
      </c>
      <c r="E2" s="713" t="s">
        <v>1911</v>
      </c>
      <c r="F2" s="713" t="s">
        <v>1912</v>
      </c>
    </row>
    <row r="3" spans="1:6" ht="12" customHeight="1" x14ac:dyDescent="0.2">
      <c r="A3" s="2198"/>
      <c r="B3" s="1545"/>
      <c r="C3" s="1546"/>
      <c r="D3" s="1547" t="s">
        <v>274</v>
      </c>
      <c r="E3" s="1546"/>
      <c r="F3" s="1547" t="s">
        <v>275</v>
      </c>
    </row>
    <row r="4" spans="1:6" ht="13.7" customHeight="1" x14ac:dyDescent="0.2">
      <c r="A4" s="714" t="s">
        <v>1217</v>
      </c>
      <c r="B4" s="1769">
        <f>'Revenues 9-14'!C5</f>
        <v>0</v>
      </c>
      <c r="C4" s="1544"/>
      <c r="D4" s="1772">
        <f>B4-C4</f>
        <v>0</v>
      </c>
      <c r="E4" s="1544"/>
      <c r="F4" s="1772">
        <f>E4-C4</f>
        <v>0</v>
      </c>
    </row>
    <row r="5" spans="1:6" ht="13.7" customHeight="1" x14ac:dyDescent="0.2">
      <c r="A5" s="714" t="s">
        <v>925</v>
      </c>
      <c r="B5" s="1770">
        <f>'Revenues 9-14'!D5</f>
        <v>0</v>
      </c>
      <c r="C5" s="583"/>
      <c r="D5" s="1773">
        <f t="shared" ref="D5:D18" si="0">B5-C5</f>
        <v>0</v>
      </c>
      <c r="E5" s="583"/>
      <c r="F5" s="1773">
        <f>E5-C5</f>
        <v>0</v>
      </c>
    </row>
    <row r="6" spans="1:6" ht="13.7" customHeight="1" x14ac:dyDescent="0.2">
      <c r="A6" s="714" t="s">
        <v>431</v>
      </c>
      <c r="B6" s="1770">
        <f>'Revenues 9-14'!E5</f>
        <v>0</v>
      </c>
      <c r="C6" s="583"/>
      <c r="D6" s="1773">
        <f t="shared" si="0"/>
        <v>0</v>
      </c>
      <c r="E6" s="583"/>
      <c r="F6" s="1773">
        <f t="shared" ref="F6:F18" si="1">E6-C6</f>
        <v>0</v>
      </c>
    </row>
    <row r="7" spans="1:6" ht="13.7" customHeight="1" x14ac:dyDescent="0.2">
      <c r="A7" s="714" t="s">
        <v>157</v>
      </c>
      <c r="B7" s="1770">
        <f>'Revenues 9-14'!F5</f>
        <v>0</v>
      </c>
      <c r="C7" s="583"/>
      <c r="D7" s="1773">
        <f t="shared" si="0"/>
        <v>0</v>
      </c>
      <c r="E7" s="583"/>
      <c r="F7" s="1773">
        <f t="shared" si="1"/>
        <v>0</v>
      </c>
    </row>
    <row r="8" spans="1:6" ht="13.7" customHeight="1" x14ac:dyDescent="0.2">
      <c r="A8" s="714" t="s">
        <v>1241</v>
      </c>
      <c r="B8" s="1770">
        <f>'Revenues 9-14'!G5</f>
        <v>0</v>
      </c>
      <c r="C8" s="583"/>
      <c r="D8" s="1773">
        <f t="shared" si="0"/>
        <v>0</v>
      </c>
      <c r="E8" s="583"/>
      <c r="F8" s="1773">
        <f t="shared" si="1"/>
        <v>0</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0</v>
      </c>
      <c r="C10" s="583"/>
      <c r="D10" s="1773">
        <f t="shared" si="0"/>
        <v>0</v>
      </c>
      <c r="E10" s="583"/>
      <c r="F10" s="1773">
        <f t="shared" si="1"/>
        <v>0</v>
      </c>
    </row>
    <row r="11" spans="1:6" x14ac:dyDescent="0.2">
      <c r="A11" s="714" t="s">
        <v>429</v>
      </c>
      <c r="B11" s="1770">
        <f>'Revenues 9-14'!J5</f>
        <v>0</v>
      </c>
      <c r="C11" s="583"/>
      <c r="D11" s="1773">
        <f t="shared" si="0"/>
        <v>0</v>
      </c>
      <c r="E11" s="583"/>
      <c r="F11" s="1773">
        <f t="shared" si="1"/>
        <v>0</v>
      </c>
    </row>
    <row r="12" spans="1:6" ht="13.7" customHeight="1" x14ac:dyDescent="0.2">
      <c r="A12" s="714" t="s">
        <v>159</v>
      </c>
      <c r="B12" s="1770">
        <f>'Revenues 9-14'!K5</f>
        <v>0</v>
      </c>
      <c r="C12" s="583"/>
      <c r="D12" s="1773">
        <f t="shared" si="0"/>
        <v>0</v>
      </c>
      <c r="E12" s="583"/>
      <c r="F12" s="1773">
        <f t="shared" si="1"/>
        <v>0</v>
      </c>
    </row>
    <row r="13" spans="1:6" ht="13.7" customHeight="1" x14ac:dyDescent="0.2">
      <c r="A13" s="714" t="s">
        <v>993</v>
      </c>
      <c r="B13" s="1770">
        <f>SUM('Revenues 9-14'!C6:D6)</f>
        <v>0</v>
      </c>
      <c r="C13" s="583"/>
      <c r="D13" s="1773">
        <f t="shared" si="0"/>
        <v>0</v>
      </c>
      <c r="E13" s="583"/>
      <c r="F13" s="1773">
        <f t="shared" si="1"/>
        <v>0</v>
      </c>
    </row>
    <row r="14" spans="1:6" ht="13.7" customHeight="1" x14ac:dyDescent="0.2">
      <c r="A14" s="714" t="s">
        <v>430</v>
      </c>
      <c r="B14" s="1770">
        <f>SUM('Revenues 9-14'!C7:D7,'Revenues 9-14'!F7:H7)</f>
        <v>0</v>
      </c>
      <c r="C14" s="583"/>
      <c r="D14" s="1773">
        <f t="shared" si="0"/>
        <v>0</v>
      </c>
      <c r="E14" s="583"/>
      <c r="F14" s="1773">
        <f t="shared" si="1"/>
        <v>0</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0</v>
      </c>
      <c r="C16" s="583"/>
      <c r="D16" s="1773">
        <f t="shared" si="0"/>
        <v>0</v>
      </c>
      <c r="E16" s="583"/>
      <c r="F16" s="1773">
        <f t="shared" si="1"/>
        <v>0</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0</v>
      </c>
      <c r="C19" s="1771">
        <f>SUM(C4:C18)</f>
        <v>0</v>
      </c>
      <c r="D19" s="1771">
        <f>SUM(D4:D18)</f>
        <v>0</v>
      </c>
      <c r="E19" s="1771">
        <f>SUM(E4:E18)</f>
        <v>0</v>
      </c>
      <c r="F19" s="1771">
        <f>SUM(F4:F18)</f>
        <v>0</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3" t="s">
        <v>650</v>
      </c>
      <c r="B1" s="2204"/>
      <c r="C1" s="720"/>
    </row>
    <row r="2" spans="1:7" ht="33.75" x14ac:dyDescent="0.2">
      <c r="A2" s="2212" t="s">
        <v>1904</v>
      </c>
      <c r="B2" s="2213"/>
      <c r="C2" s="1907" t="s">
        <v>2037</v>
      </c>
      <c r="D2" s="722" t="s">
        <v>2044</v>
      </c>
      <c r="E2" s="722" t="s">
        <v>2045</v>
      </c>
      <c r="F2" s="1907" t="s">
        <v>2038</v>
      </c>
    </row>
    <row r="3" spans="1:7" ht="15.75" customHeight="1" x14ac:dyDescent="0.2">
      <c r="A3" s="2216" t="s">
        <v>1176</v>
      </c>
      <c r="B3" s="2217"/>
      <c r="C3" s="2205"/>
      <c r="D3" s="2206"/>
      <c r="E3" s="2206"/>
      <c r="F3" s="2207"/>
    </row>
    <row r="4" spans="1:7" ht="12.75" customHeight="1" thickBot="1" x14ac:dyDescent="0.25">
      <c r="A4" s="2214" t="s">
        <v>651</v>
      </c>
      <c r="B4" s="2215"/>
      <c r="C4" s="579"/>
      <c r="D4" s="579"/>
      <c r="E4" s="579"/>
      <c r="F4" s="1775">
        <f>SUM(C4+D4)-E4</f>
        <v>0</v>
      </c>
    </row>
    <row r="5" spans="1:7" ht="15.75" customHeight="1" thickTop="1" x14ac:dyDescent="0.2">
      <c r="A5" s="2199" t="s">
        <v>1172</v>
      </c>
      <c r="B5" s="2200"/>
      <c r="C5" s="2208"/>
      <c r="D5" s="2209"/>
      <c r="E5" s="2209"/>
      <c r="F5" s="2210"/>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1" t="s">
        <v>652</v>
      </c>
      <c r="B15" s="2202"/>
      <c r="C15" s="1775">
        <f>SUM(C6:C14)</f>
        <v>0</v>
      </c>
      <c r="D15" s="1775">
        <f>SUM(D6:D14)</f>
        <v>0</v>
      </c>
      <c r="E15" s="1775">
        <f>SUM(E6:E14)</f>
        <v>0</v>
      </c>
      <c r="F15" s="1775">
        <f>SUM(F6:F14)</f>
        <v>0</v>
      </c>
      <c r="G15" s="550"/>
    </row>
    <row r="16" spans="1:7" s="202" customFormat="1" ht="15.75" customHeight="1" thickTop="1" x14ac:dyDescent="0.2">
      <c r="A16" s="2211" t="s">
        <v>1173</v>
      </c>
      <c r="B16" s="2200"/>
      <c r="C16" s="2208"/>
      <c r="D16" s="2209"/>
      <c r="E16" s="2209"/>
      <c r="F16" s="2210"/>
    </row>
    <row r="17" spans="1:11" ht="12.75" customHeight="1" thickBot="1" x14ac:dyDescent="0.25">
      <c r="A17" s="2224" t="s">
        <v>66</v>
      </c>
      <c r="B17" s="2225"/>
      <c r="C17" s="725"/>
      <c r="D17" s="583"/>
      <c r="E17" s="725"/>
      <c r="F17" s="1775">
        <f>SUM(C17+D17)-E17</f>
        <v>0</v>
      </c>
    </row>
    <row r="18" spans="1:11" ht="12.75" customHeight="1" thickTop="1" thickBot="1" x14ac:dyDescent="0.25">
      <c r="A18" s="2224" t="s">
        <v>6</v>
      </c>
      <c r="B18" s="2225"/>
      <c r="C18" s="725"/>
      <c r="D18" s="583"/>
      <c r="E18" s="725"/>
      <c r="F18" s="1775">
        <f>SUM(C18+D18)-E18</f>
        <v>0</v>
      </c>
    </row>
    <row r="19" spans="1:11" ht="12.75" customHeight="1" thickTop="1" thickBot="1" x14ac:dyDescent="0.25">
      <c r="A19" s="2224" t="s">
        <v>406</v>
      </c>
      <c r="B19" s="2225"/>
      <c r="C19" s="725"/>
      <c r="D19" s="583"/>
      <c r="E19" s="725"/>
      <c r="F19" s="1775">
        <f>SUM(C19+D19)-E19</f>
        <v>0</v>
      </c>
    </row>
    <row r="20" spans="1:11" ht="12.75" customHeight="1" thickTop="1" thickBot="1" x14ac:dyDescent="0.25">
      <c r="A20" s="2224" t="s">
        <v>468</v>
      </c>
      <c r="B20" s="2225"/>
      <c r="C20" s="725"/>
      <c r="D20" s="583"/>
      <c r="E20" s="725"/>
      <c r="F20" s="1775">
        <f>SUM(C20+D20)-E20</f>
        <v>0</v>
      </c>
    </row>
    <row r="21" spans="1:11" ht="14.25" thickTop="1" thickBot="1" x14ac:dyDescent="0.25">
      <c r="A21" s="2201" t="s">
        <v>653</v>
      </c>
      <c r="B21" s="2202"/>
      <c r="C21" s="1775">
        <f>SUM(C17:C20)</f>
        <v>0</v>
      </c>
      <c r="D21" s="1775">
        <f>SUM(D17:D20)</f>
        <v>0</v>
      </c>
      <c r="E21" s="1775">
        <f>SUM(E17:E20)</f>
        <v>0</v>
      </c>
      <c r="F21" s="1775">
        <f>SUM(F17:F20)</f>
        <v>0</v>
      </c>
      <c r="G21" s="550"/>
    </row>
    <row r="22" spans="1:11" ht="15.75" customHeight="1" thickTop="1" x14ac:dyDescent="0.2">
      <c r="A22" s="2226" t="s">
        <v>1174</v>
      </c>
      <c r="B22" s="2200"/>
      <c r="C22" s="2208"/>
      <c r="D22" s="2209"/>
      <c r="E22" s="2209"/>
      <c r="F22" s="2210"/>
    </row>
    <row r="23" spans="1:11" ht="13.5" thickBot="1" x14ac:dyDescent="0.25">
      <c r="A23" s="2214" t="s">
        <v>654</v>
      </c>
      <c r="B23" s="2215"/>
      <c r="C23" s="579"/>
      <c r="D23" s="579"/>
      <c r="E23" s="579"/>
      <c r="F23" s="1775">
        <f>SUM(C23+D23)-E23</f>
        <v>0</v>
      </c>
      <c r="G23" s="550"/>
    </row>
    <row r="24" spans="1:11" ht="15.75" customHeight="1" thickTop="1" x14ac:dyDescent="0.2">
      <c r="A24" s="2226" t="s">
        <v>1175</v>
      </c>
      <c r="B24" s="2200"/>
      <c r="C24" s="2208"/>
      <c r="D24" s="2209"/>
      <c r="E24" s="2209"/>
      <c r="F24" s="2210"/>
    </row>
    <row r="25" spans="1:11" ht="13.5" thickBot="1" x14ac:dyDescent="0.25">
      <c r="A25" s="2214" t="s">
        <v>655</v>
      </c>
      <c r="B25" s="2215"/>
      <c r="C25" s="579"/>
      <c r="D25" s="579"/>
      <c r="E25" s="579"/>
      <c r="F25" s="1775">
        <f>SUM(C25+D25)-E25</f>
        <v>0</v>
      </c>
      <c r="G25" s="550"/>
    </row>
    <row r="26" spans="1:11" ht="15.75" customHeight="1" thickTop="1" x14ac:dyDescent="0.2">
      <c r="A26" s="2199" t="s">
        <v>678</v>
      </c>
      <c r="B26" s="2200"/>
      <c r="C26" s="726"/>
      <c r="D26" s="726"/>
      <c r="E26" s="726"/>
      <c r="F26" s="727"/>
    </row>
    <row r="27" spans="1:11" ht="13.5" thickBot="1" x14ac:dyDescent="0.25">
      <c r="A27" s="2201" t="s">
        <v>1130</v>
      </c>
      <c r="B27" s="2202"/>
      <c r="C27" s="583"/>
      <c r="D27" s="583"/>
      <c r="E27" s="583"/>
      <c r="F27" s="1775">
        <f>SUM(C27+D27)-E27</f>
        <v>0</v>
      </c>
      <c r="G27" s="550"/>
    </row>
    <row r="28" spans="1:11" ht="7.5" customHeight="1" thickTop="1" x14ac:dyDescent="0.2">
      <c r="A28" s="592"/>
    </row>
    <row r="29" spans="1:11" ht="23.25" customHeight="1" x14ac:dyDescent="0.2">
      <c r="A29" s="2227" t="s">
        <v>603</v>
      </c>
      <c r="B29" s="2204"/>
      <c r="C29" s="728"/>
      <c r="D29" s="728"/>
      <c r="E29" s="728"/>
      <c r="F29" s="728"/>
      <c r="G29" s="728"/>
      <c r="H29" s="728"/>
      <c r="I29" s="728"/>
      <c r="J29" s="728"/>
    </row>
    <row r="30" spans="1:11" ht="33.75" x14ac:dyDescent="0.2">
      <c r="A30" s="1549" t="s">
        <v>1131</v>
      </c>
      <c r="B30" s="729" t="s">
        <v>1186</v>
      </c>
      <c r="C30" s="1908" t="s">
        <v>604</v>
      </c>
      <c r="D30" s="1908" t="s">
        <v>1772</v>
      </c>
      <c r="E30" s="1908" t="s">
        <v>2039</v>
      </c>
      <c r="F30" s="1908" t="s">
        <v>2040</v>
      </c>
      <c r="G30" s="1908" t="s">
        <v>2043</v>
      </c>
      <c r="H30" s="1908" t="s">
        <v>2041</v>
      </c>
      <c r="I30" s="1908" t="s">
        <v>2042</v>
      </c>
      <c r="J30" s="1909" t="s">
        <v>2</v>
      </c>
      <c r="K30" s="730"/>
    </row>
    <row r="31" spans="1:11" ht="12" customHeight="1" x14ac:dyDescent="0.2">
      <c r="A31" s="731"/>
      <c r="B31" s="732"/>
      <c r="C31" s="733"/>
      <c r="D31" s="734"/>
      <c r="E31" s="733"/>
      <c r="F31" s="733"/>
      <c r="G31" s="733"/>
      <c r="H31" s="733"/>
      <c r="I31" s="1776">
        <f>((E31+F31)-H31)+G31</f>
        <v>0</v>
      </c>
      <c r="J31" s="733"/>
      <c r="K31" s="735"/>
    </row>
    <row r="32" spans="1:11" ht="12" customHeight="1" x14ac:dyDescent="0.2">
      <c r="A32" s="731"/>
      <c r="B32" s="732"/>
      <c r="C32" s="733"/>
      <c r="D32" s="734"/>
      <c r="E32" s="733"/>
      <c r="F32" s="733"/>
      <c r="G32" s="733"/>
      <c r="H32" s="733"/>
      <c r="I32" s="1776">
        <f>((E32+F32)-H32)+G32</f>
        <v>0</v>
      </c>
      <c r="J32" s="733"/>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0</v>
      </c>
      <c r="D49" s="744"/>
      <c r="E49" s="1776">
        <f t="shared" ref="E49:J49" si="2">SUM(E31:E48)</f>
        <v>0</v>
      </c>
      <c r="F49" s="1776">
        <f t="shared" si="2"/>
        <v>0</v>
      </c>
      <c r="G49" s="1776">
        <f t="shared" si="2"/>
        <v>0</v>
      </c>
      <c r="H49" s="1776">
        <f t="shared" si="2"/>
        <v>0</v>
      </c>
      <c r="I49" s="1776">
        <f t="shared" si="2"/>
        <v>0</v>
      </c>
      <c r="J49" s="1776">
        <f t="shared" si="2"/>
        <v>0</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18" t="s">
        <v>605</v>
      </c>
      <c r="C52" s="2219"/>
      <c r="D52" s="2219"/>
      <c r="E52" s="748" t="s">
        <v>900</v>
      </c>
      <c r="F52" s="2220"/>
      <c r="G52" s="2221"/>
      <c r="H52" s="735"/>
      <c r="I52" s="735"/>
      <c r="J52" s="745"/>
    </row>
    <row r="53" spans="1:11" ht="11.25" customHeight="1" x14ac:dyDescent="0.2">
      <c r="A53" s="749" t="s">
        <v>969</v>
      </c>
      <c r="B53" s="750" t="s">
        <v>1008</v>
      </c>
      <c r="C53" s="745"/>
      <c r="D53" s="736"/>
      <c r="E53" s="748" t="s">
        <v>518</v>
      </c>
      <c r="F53" s="2222"/>
      <c r="G53" s="2223"/>
      <c r="H53" s="735"/>
      <c r="I53" s="735"/>
      <c r="J53" s="745"/>
    </row>
    <row r="54" spans="1:11" ht="11.25" customHeight="1" x14ac:dyDescent="0.2">
      <c r="A54" s="751" t="s">
        <v>970</v>
      </c>
      <c r="B54" s="746" t="s">
        <v>1009</v>
      </c>
      <c r="C54" s="745"/>
      <c r="D54" s="736"/>
      <c r="E54" s="748" t="s">
        <v>519</v>
      </c>
      <c r="F54" s="2222"/>
      <c r="G54" s="2223"/>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2" t="s">
        <v>911</v>
      </c>
      <c r="B1" s="2253"/>
      <c r="C1" s="2253"/>
      <c r="D1" s="2253"/>
      <c r="E1" s="2253"/>
      <c r="F1" s="2253"/>
      <c r="G1" s="2254"/>
      <c r="H1" s="1550"/>
      <c r="I1" s="759"/>
      <c r="J1" s="433"/>
    </row>
    <row r="2" spans="1:11" ht="26.25" x14ac:dyDescent="0.2">
      <c r="A2" s="2231" t="s">
        <v>1776</v>
      </c>
      <c r="B2" s="2232"/>
      <c r="C2" s="2232"/>
      <c r="D2" s="2232"/>
      <c r="E2" s="2233"/>
      <c r="F2" s="760" t="s">
        <v>960</v>
      </c>
      <c r="G2" s="761" t="s">
        <v>1773</v>
      </c>
      <c r="H2" s="761" t="s">
        <v>430</v>
      </c>
      <c r="I2" s="761" t="s">
        <v>1220</v>
      </c>
      <c r="J2" s="761" t="s">
        <v>1918</v>
      </c>
      <c r="K2" s="761" t="s">
        <v>140</v>
      </c>
    </row>
    <row r="3" spans="1:11" x14ac:dyDescent="0.2">
      <c r="A3" s="2234" t="s">
        <v>1698</v>
      </c>
      <c r="B3" s="2235"/>
      <c r="C3" s="2235"/>
      <c r="D3" s="2235"/>
      <c r="E3" s="2236"/>
      <c r="F3" s="762"/>
      <c r="G3" s="763"/>
      <c r="H3" s="763"/>
      <c r="I3" s="763"/>
      <c r="J3" s="764"/>
      <c r="K3" s="764"/>
    </row>
    <row r="4" spans="1:11" x14ac:dyDescent="0.2">
      <c r="A4" s="2237" t="s">
        <v>387</v>
      </c>
      <c r="B4" s="2238"/>
      <c r="C4" s="2238"/>
      <c r="D4" s="2238"/>
      <c r="E4" s="2219"/>
      <c r="F4" s="765"/>
      <c r="G4" s="766"/>
      <c r="H4" s="767"/>
      <c r="I4" s="766"/>
      <c r="J4" s="768"/>
      <c r="K4" s="768"/>
    </row>
    <row r="5" spans="1:11" x14ac:dyDescent="0.2">
      <c r="A5" s="2255" t="s">
        <v>1129</v>
      </c>
      <c r="B5" s="2228"/>
      <c r="C5" s="2228"/>
      <c r="D5" s="2228"/>
      <c r="E5" s="2256"/>
      <c r="F5" s="769" t="s">
        <v>903</v>
      </c>
      <c r="G5" s="770"/>
      <c r="H5" s="763"/>
      <c r="I5" s="771"/>
      <c r="J5" s="772"/>
      <c r="K5" s="772"/>
    </row>
    <row r="6" spans="1:11" x14ac:dyDescent="0.2">
      <c r="A6" s="773" t="s">
        <v>744</v>
      </c>
      <c r="B6" s="774"/>
      <c r="C6" s="774"/>
      <c r="D6" s="774"/>
      <c r="E6" s="775"/>
      <c r="F6" s="776" t="s">
        <v>904</v>
      </c>
      <c r="G6" s="763"/>
      <c r="H6" s="763"/>
      <c r="I6" s="763"/>
      <c r="J6" s="764"/>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c r="K8" s="768"/>
    </row>
    <row r="9" spans="1:11" x14ac:dyDescent="0.2">
      <c r="A9" s="777" t="s">
        <v>140</v>
      </c>
      <c r="B9" s="778"/>
      <c r="C9" s="778"/>
      <c r="D9" s="778"/>
      <c r="E9" s="779"/>
      <c r="F9" s="776" t="s">
        <v>908</v>
      </c>
      <c r="G9" s="781"/>
      <c r="H9" s="770"/>
      <c r="I9" s="770"/>
      <c r="J9" s="780"/>
      <c r="K9" s="764"/>
    </row>
    <row r="10" spans="1:11" x14ac:dyDescent="0.2">
      <c r="A10" s="2255" t="s">
        <v>1919</v>
      </c>
      <c r="B10" s="2228"/>
      <c r="C10" s="2228"/>
      <c r="D10" s="2228"/>
      <c r="E10" s="2257"/>
      <c r="F10" s="782" t="s">
        <v>917</v>
      </c>
      <c r="G10" s="781"/>
      <c r="H10" s="783"/>
      <c r="I10" s="763"/>
      <c r="J10" s="764"/>
      <c r="K10" s="764"/>
    </row>
    <row r="11" spans="1:11" x14ac:dyDescent="0.2">
      <c r="A11" s="2255" t="s">
        <v>162</v>
      </c>
      <c r="B11" s="2228"/>
      <c r="C11" s="2228"/>
      <c r="D11" s="2228"/>
      <c r="E11" s="2256"/>
      <c r="F11" s="769" t="s">
        <v>907</v>
      </c>
      <c r="G11" s="770"/>
      <c r="H11" s="763"/>
      <c r="I11" s="763"/>
      <c r="J11" s="764"/>
      <c r="K11" s="772"/>
    </row>
    <row r="12" spans="1:11" ht="13.5" thickBot="1" x14ac:dyDescent="0.25">
      <c r="A12" s="2245" t="s">
        <v>961</v>
      </c>
      <c r="B12" s="2246"/>
      <c r="C12" s="2246"/>
      <c r="D12" s="2246"/>
      <c r="E12" s="2247"/>
      <c r="F12" s="1777"/>
      <c r="G12" s="1778">
        <f>SUM(G5:G11)</f>
        <v>0</v>
      </c>
      <c r="H12" s="1778">
        <f>SUM(H5:H11)</f>
        <v>0</v>
      </c>
      <c r="I12" s="1778">
        <f>SUM(I5:I11)</f>
        <v>0</v>
      </c>
      <c r="J12" s="1778">
        <f>SUM(J5:J11)</f>
        <v>0</v>
      </c>
      <c r="K12" s="1778">
        <f>SUM(K5:K11)</f>
        <v>0</v>
      </c>
    </row>
    <row r="13" spans="1:11" ht="13.5" thickTop="1" x14ac:dyDescent="0.2">
      <c r="A13" s="2239" t="s">
        <v>388</v>
      </c>
      <c r="B13" s="2240"/>
      <c r="C13" s="2240"/>
      <c r="D13" s="2240"/>
      <c r="E13" s="2241"/>
      <c r="F13" s="784"/>
      <c r="G13" s="785"/>
      <c r="H13" s="786"/>
      <c r="I13" s="787"/>
      <c r="J13" s="787"/>
      <c r="K13" s="787"/>
    </row>
    <row r="14" spans="1:11" x14ac:dyDescent="0.2">
      <c r="A14" s="2261" t="s">
        <v>476</v>
      </c>
      <c r="B14" s="2261"/>
      <c r="C14" s="2261"/>
      <c r="D14" s="2261"/>
      <c r="E14" s="2262"/>
      <c r="F14" s="788" t="s">
        <v>909</v>
      </c>
      <c r="G14" s="781"/>
      <c r="H14" s="763"/>
      <c r="I14" s="770"/>
      <c r="J14" s="772"/>
      <c r="K14" s="764"/>
    </row>
    <row r="15" spans="1:11" x14ac:dyDescent="0.2">
      <c r="A15" s="2228" t="s">
        <v>4</v>
      </c>
      <c r="B15" s="2228"/>
      <c r="C15" s="2228"/>
      <c r="D15" s="2228"/>
      <c r="E15" s="2256"/>
      <c r="F15" s="788" t="s">
        <v>910</v>
      </c>
      <c r="G15" s="770"/>
      <c r="H15" s="763"/>
      <c r="I15" s="763"/>
      <c r="J15" s="764"/>
      <c r="K15" s="764"/>
    </row>
    <row r="16" spans="1:11" x14ac:dyDescent="0.2">
      <c r="A16" s="2228" t="s">
        <v>316</v>
      </c>
      <c r="B16" s="2228"/>
      <c r="C16" s="2228"/>
      <c r="D16" s="2228"/>
      <c r="E16" s="2256"/>
      <c r="F16" s="788" t="s">
        <v>980</v>
      </c>
      <c r="G16" s="771"/>
      <c r="H16" s="766"/>
      <c r="I16" s="766"/>
      <c r="J16" s="768"/>
      <c r="K16" s="768"/>
    </row>
    <row r="17" spans="1:11" x14ac:dyDescent="0.2">
      <c r="A17" s="2250" t="s">
        <v>992</v>
      </c>
      <c r="B17" s="2250"/>
      <c r="C17" s="2250"/>
      <c r="D17" s="2250"/>
      <c r="E17" s="2251"/>
      <c r="F17" s="789"/>
      <c r="G17" s="790"/>
      <c r="H17" s="791"/>
      <c r="I17" s="791"/>
      <c r="J17" s="792"/>
      <c r="K17" s="793"/>
    </row>
    <row r="18" spans="1:11" x14ac:dyDescent="0.2">
      <c r="A18" s="2242" t="s">
        <v>386</v>
      </c>
      <c r="B18" s="2243"/>
      <c r="C18" s="2243"/>
      <c r="D18" s="2243"/>
      <c r="E18" s="2244"/>
      <c r="F18" s="788" t="s">
        <v>989</v>
      </c>
      <c r="G18" s="781"/>
      <c r="H18" s="781"/>
      <c r="I18" s="781"/>
      <c r="J18" s="764"/>
      <c r="K18" s="794"/>
    </row>
    <row r="19" spans="1:11" ht="21.75" customHeight="1" x14ac:dyDescent="0.2">
      <c r="A19" s="2263" t="s">
        <v>1915</v>
      </c>
      <c r="B19" s="2263"/>
      <c r="C19" s="2263"/>
      <c r="D19" s="2263"/>
      <c r="E19" s="2264"/>
      <c r="F19" s="788" t="s">
        <v>990</v>
      </c>
      <c r="G19" s="781"/>
      <c r="H19" s="781"/>
      <c r="I19" s="781"/>
      <c r="J19" s="764"/>
      <c r="K19" s="794"/>
    </row>
    <row r="20" spans="1:11" x14ac:dyDescent="0.2">
      <c r="A20" s="2242" t="s">
        <v>1920</v>
      </c>
      <c r="B20" s="2243"/>
      <c r="C20" s="2243"/>
      <c r="D20" s="2243"/>
      <c r="E20" s="2244"/>
      <c r="F20" s="788" t="s">
        <v>991</v>
      </c>
      <c r="G20" s="781"/>
      <c r="H20" s="781"/>
      <c r="I20" s="781"/>
      <c r="J20" s="764"/>
      <c r="K20" s="794"/>
    </row>
    <row r="21" spans="1:11" ht="13.5" thickBot="1" x14ac:dyDescent="0.25">
      <c r="A21" s="2248" t="s">
        <v>659</v>
      </c>
      <c r="B21" s="2248"/>
      <c r="C21" s="2248"/>
      <c r="D21" s="2248"/>
      <c r="E21" s="2248"/>
      <c r="F21" s="1779"/>
      <c r="G21" s="791"/>
      <c r="H21" s="795"/>
      <c r="I21" s="795"/>
      <c r="J21" s="1780">
        <f>SUM(J18:J20)</f>
        <v>0</v>
      </c>
      <c r="K21" s="792"/>
    </row>
    <row r="22" spans="1:11" ht="13.5" thickTop="1" x14ac:dyDescent="0.2">
      <c r="A22" s="2228" t="s">
        <v>1921</v>
      </c>
      <c r="B22" s="2228"/>
      <c r="C22" s="2228"/>
      <c r="D22" s="2228"/>
      <c r="E22" s="2256"/>
      <c r="F22" s="788" t="s">
        <v>917</v>
      </c>
      <c r="G22" s="781"/>
      <c r="H22" s="763"/>
      <c r="I22" s="763"/>
      <c r="J22" s="796"/>
      <c r="K22" s="764"/>
    </row>
    <row r="23" spans="1:11" ht="13.5" thickBot="1" x14ac:dyDescent="0.25">
      <c r="A23" s="2249" t="s">
        <v>962</v>
      </c>
      <c r="B23" s="2248"/>
      <c r="C23" s="2248"/>
      <c r="D23" s="2248"/>
      <c r="E23" s="2248"/>
      <c r="F23" s="1781"/>
      <c r="G23" s="1778">
        <f>SUM(G14:G16,G21,G22)</f>
        <v>0</v>
      </c>
      <c r="H23" s="1778">
        <f>SUM(H14:H16,H21,H22)</f>
        <v>0</v>
      </c>
      <c r="I23" s="1778">
        <f>SUM(I14:I16,I21,I22)</f>
        <v>0</v>
      </c>
      <c r="J23" s="1778">
        <f>SUM(J14:J16,J21,J22)</f>
        <v>0</v>
      </c>
      <c r="K23" s="1778">
        <f>SUM(K14:K16,K21,K22)</f>
        <v>0</v>
      </c>
    </row>
    <row r="24" spans="1:11" ht="14.25" thickTop="1" thickBot="1" x14ac:dyDescent="0.25">
      <c r="A24" s="2249" t="s">
        <v>2025</v>
      </c>
      <c r="B24" s="2248"/>
      <c r="C24" s="2248"/>
      <c r="D24" s="2248"/>
      <c r="E24" s="2248"/>
      <c r="F24" s="1782"/>
      <c r="G24" s="1783">
        <f>SUM(G3,G12)-G23</f>
        <v>0</v>
      </c>
      <c r="H24" s="1783">
        <f>SUM(H3,H12)-H23</f>
        <v>0</v>
      </c>
      <c r="I24" s="1783">
        <f>SUM(I3,I12)-I23</f>
        <v>0</v>
      </c>
      <c r="J24" s="1783">
        <f>SUM(J3,J12)-J23</f>
        <v>0</v>
      </c>
      <c r="K24" s="1783">
        <f>SUM(K3,K12)-K23</f>
        <v>0</v>
      </c>
    </row>
    <row r="25" spans="1:11" ht="13.5" thickTop="1" x14ac:dyDescent="0.2">
      <c r="A25" s="797" t="s">
        <v>440</v>
      </c>
      <c r="B25" s="798"/>
      <c r="C25" s="798"/>
      <c r="D25" s="798"/>
      <c r="E25" s="799"/>
      <c r="F25" s="800">
        <v>714</v>
      </c>
      <c r="G25" s="801"/>
      <c r="H25" s="801"/>
      <c r="I25" s="801"/>
      <c r="J25" s="796"/>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58"/>
      <c r="I31" s="2259"/>
      <c r="J31" s="2259"/>
      <c r="K31" s="2259"/>
    </row>
    <row r="32" spans="1:11" x14ac:dyDescent="0.2">
      <c r="A32" s="808"/>
      <c r="B32" s="237"/>
      <c r="C32" s="237"/>
      <c r="D32" s="237"/>
      <c r="E32" s="804"/>
      <c r="F32" s="810" t="s">
        <v>561</v>
      </c>
      <c r="G32" s="763"/>
      <c r="H32" s="2260"/>
      <c r="I32" s="2259"/>
      <c r="J32" s="2259"/>
      <c r="K32" s="2259"/>
    </row>
    <row r="33" spans="1:11" ht="1.5" customHeight="1" x14ac:dyDescent="0.2">
      <c r="A33" s="811" t="s">
        <v>1231</v>
      </c>
      <c r="B33" s="364"/>
      <c r="C33" s="364"/>
      <c r="D33" s="364"/>
      <c r="E33" s="364"/>
      <c r="F33" s="364"/>
      <c r="G33" s="812"/>
      <c r="H33" s="2260"/>
      <c r="I33" s="2259"/>
      <c r="J33" s="2259"/>
      <c r="K33" s="2259"/>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28" t="s">
        <v>562</v>
      </c>
      <c r="B41" s="2229"/>
      <c r="C41" s="2229"/>
      <c r="D41" s="2229"/>
      <c r="E41" s="2229"/>
      <c r="F41" s="2230"/>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1774</v>
      </c>
    </row>
    <row r="47" spans="1:11" s="822" customFormat="1" ht="12.75" customHeight="1" x14ac:dyDescent="0.2">
      <c r="A47" s="820"/>
      <c r="B47" s="821" t="s">
        <v>1775</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7" t="s">
        <v>2034</v>
      </c>
      <c r="B1" s="2268"/>
      <c r="C1" s="2269"/>
      <c r="D1" s="825"/>
      <c r="E1" s="826"/>
      <c r="F1" s="826"/>
      <c r="G1" s="827"/>
      <c r="H1" s="828"/>
      <c r="I1" s="829"/>
      <c r="J1" s="2265"/>
      <c r="K1" s="2266"/>
      <c r="L1" s="2266"/>
    </row>
    <row r="2" spans="1:14" ht="69.75" customHeight="1" x14ac:dyDescent="0.2">
      <c r="A2" s="830" t="s">
        <v>1777</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54850</v>
      </c>
      <c r="D5" s="840"/>
      <c r="E5" s="840"/>
      <c r="F5" s="1780">
        <f>(C5+D5)-E5</f>
        <v>54850</v>
      </c>
      <c r="G5" s="836"/>
      <c r="H5" s="841"/>
      <c r="I5" s="841"/>
      <c r="J5" s="841"/>
      <c r="K5" s="792"/>
      <c r="L5" s="1789">
        <f>F5-K5</f>
        <v>54850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562637</v>
      </c>
      <c r="D8" s="843"/>
      <c r="E8" s="843"/>
      <c r="F8" s="1780">
        <f>(C8+D8)-E8</f>
        <v>562637</v>
      </c>
      <c r="G8" s="842">
        <v>50</v>
      </c>
      <c r="H8" s="764">
        <v>286848</v>
      </c>
      <c r="I8" s="764">
        <v>8854</v>
      </c>
      <c r="J8" s="764"/>
      <c r="K8" s="1789">
        <f>(H8+I8)-J8</f>
        <v>295702</v>
      </c>
      <c r="L8" s="1789">
        <f>F8-K8</f>
        <v>266935</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16909</v>
      </c>
      <c r="D10" s="845"/>
      <c r="E10" s="845"/>
      <c r="F10" s="1784">
        <f>(C10+D10)-E10</f>
        <v>16909</v>
      </c>
      <c r="G10" s="842">
        <v>20</v>
      </c>
      <c r="H10" s="846">
        <v>8660</v>
      </c>
      <c r="I10" s="846">
        <v>846</v>
      </c>
      <c r="J10" s="846"/>
      <c r="K10" s="1789">
        <f>(H10+I10)-J10</f>
        <v>9506</v>
      </c>
      <c r="L10" s="1789">
        <f>F10-K10</f>
        <v>7403</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112674</v>
      </c>
      <c r="D12" s="843">
        <v>2968</v>
      </c>
      <c r="E12" s="843">
        <v>29243</v>
      </c>
      <c r="F12" s="1780">
        <f>(C12+D12)-E12</f>
        <v>86399</v>
      </c>
      <c r="G12" s="842">
        <v>10</v>
      </c>
      <c r="H12" s="764">
        <v>90224</v>
      </c>
      <c r="I12" s="764">
        <v>8643</v>
      </c>
      <c r="J12" s="764">
        <v>29243</v>
      </c>
      <c r="K12" s="1789">
        <f>(H12+I12)-J12</f>
        <v>69624</v>
      </c>
      <c r="L12" s="1789">
        <f>F12-K12</f>
        <v>16775</v>
      </c>
    </row>
    <row r="13" spans="1:14" ht="14.25" thickTop="1" thickBot="1" x14ac:dyDescent="0.25">
      <c r="A13" s="847" t="s">
        <v>1184</v>
      </c>
      <c r="B13" s="839">
        <v>252</v>
      </c>
      <c r="C13" s="843">
        <v>0</v>
      </c>
      <c r="D13" s="843"/>
      <c r="E13" s="843"/>
      <c r="F13" s="1780">
        <f>(C13+D13)-E13</f>
        <v>0</v>
      </c>
      <c r="G13" s="842">
        <v>5</v>
      </c>
      <c r="H13" s="764">
        <v>0</v>
      </c>
      <c r="I13" s="764"/>
      <c r="J13" s="764"/>
      <c r="K13" s="1789">
        <f>(H13+I13)-J13</f>
        <v>0</v>
      </c>
      <c r="L13" s="1789">
        <f>F13-K13</f>
        <v>0</v>
      </c>
    </row>
    <row r="14" spans="1:14" ht="14.25" thickTop="1" thickBot="1" x14ac:dyDescent="0.25">
      <c r="A14" s="847" t="s">
        <v>1185</v>
      </c>
      <c r="B14" s="839">
        <v>253</v>
      </c>
      <c r="C14" s="764">
        <v>0</v>
      </c>
      <c r="D14" s="764"/>
      <c r="E14" s="764"/>
      <c r="F14" s="1780">
        <f>(C14+D14)-E14</f>
        <v>0</v>
      </c>
      <c r="G14" s="842">
        <v>3</v>
      </c>
      <c r="H14" s="764">
        <v>0</v>
      </c>
      <c r="I14" s="764"/>
      <c r="J14" s="764"/>
      <c r="K14" s="1789">
        <f>(H14+I14)-J14</f>
        <v>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747070</v>
      </c>
      <c r="D16" s="1780">
        <f>SUM(D3,D5:D6,D8:D10,D12:D15)</f>
        <v>2968</v>
      </c>
      <c r="E16" s="1780">
        <f>SUM(E3,E5:E6,E8:E10,E12:E15)</f>
        <v>29243</v>
      </c>
      <c r="F16" s="1780">
        <f>SUM(F3,F5:F6,F8:F10,F12:F15)</f>
        <v>720795</v>
      </c>
      <c r="G16" s="842"/>
      <c r="H16" s="1780">
        <f>SUM(H3,H6,H8:H10,H12:H14,)</f>
        <v>385732</v>
      </c>
      <c r="I16" s="1780">
        <f>SUM(I3,I6,I8:I10,I12:I14,)</f>
        <v>18343</v>
      </c>
      <c r="J16" s="1780">
        <f>SUM(J3,J6,J8:J10,J12:J14,)</f>
        <v>29243</v>
      </c>
      <c r="K16" s="1780">
        <f>(H16+I16)-J16</f>
        <v>374832</v>
      </c>
      <c r="L16" s="1780">
        <f>F16-K16</f>
        <v>345963</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18343</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L31" sqref="L3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3" t="s">
        <v>1699</v>
      </c>
      <c r="B1" s="2274"/>
      <c r="C1" s="2274"/>
      <c r="D1" s="2274"/>
      <c r="E1" s="2274"/>
      <c r="F1" s="2275"/>
      <c r="G1" s="854"/>
    </row>
    <row r="2" spans="1:7" ht="15" customHeight="1" thickBot="1" x14ac:dyDescent="0.25">
      <c r="A2" s="2276" t="s">
        <v>498</v>
      </c>
      <c r="B2" s="2277"/>
      <c r="C2" s="2277"/>
      <c r="D2" s="2277"/>
      <c r="E2" s="2277"/>
      <c r="F2" s="2278"/>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79"/>
      <c r="B5" s="2280"/>
      <c r="C5" s="2280"/>
      <c r="D5" s="2280"/>
      <c r="E5" s="2280"/>
      <c r="F5" s="2280"/>
    </row>
    <row r="6" spans="1:7" ht="13.5" customHeight="1" thickBot="1" x14ac:dyDescent="0.25">
      <c r="A6" s="2270" t="s">
        <v>1166</v>
      </c>
      <c r="B6" s="2271"/>
      <c r="C6" s="2271"/>
      <c r="D6" s="2271"/>
      <c r="E6" s="2271"/>
      <c r="F6" s="2272"/>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816251</v>
      </c>
      <c r="G8" s="864"/>
    </row>
    <row r="9" spans="1:7" x14ac:dyDescent="0.2">
      <c r="A9" s="868" t="s">
        <v>480</v>
      </c>
      <c r="B9" s="869" t="s">
        <v>1988</v>
      </c>
      <c r="C9" s="870"/>
      <c r="D9" s="868" t="s">
        <v>522</v>
      </c>
      <c r="E9" s="867"/>
      <c r="F9" s="1933">
        <f>'Expenditures 15-22'!K151</f>
        <v>157587</v>
      </c>
      <c r="G9" s="871"/>
    </row>
    <row r="10" spans="1:7" x14ac:dyDescent="0.2">
      <c r="A10" s="868" t="s">
        <v>520</v>
      </c>
      <c r="B10" s="869" t="s">
        <v>1989</v>
      </c>
      <c r="C10" s="870"/>
      <c r="D10" s="868" t="s">
        <v>522</v>
      </c>
      <c r="E10" s="867"/>
      <c r="F10" s="1933">
        <f>'Expenditures 15-22'!K174</f>
        <v>0</v>
      </c>
      <c r="G10" s="871"/>
    </row>
    <row r="11" spans="1:7" x14ac:dyDescent="0.2">
      <c r="A11" s="868" t="s">
        <v>481</v>
      </c>
      <c r="B11" s="869" t="s">
        <v>1990</v>
      </c>
      <c r="C11" s="870"/>
      <c r="D11" s="868" t="s">
        <v>522</v>
      </c>
      <c r="E11" s="867"/>
      <c r="F11" s="1933">
        <f>'Expenditures 15-22'!K210</f>
        <v>5860</v>
      </c>
      <c r="G11" s="871"/>
    </row>
    <row r="12" spans="1:7" x14ac:dyDescent="0.2">
      <c r="A12" s="868" t="s">
        <v>482</v>
      </c>
      <c r="B12" s="869" t="s">
        <v>1991</v>
      </c>
      <c r="C12" s="870"/>
      <c r="D12" s="868" t="s">
        <v>522</v>
      </c>
      <c r="E12" s="867"/>
      <c r="F12" s="1933">
        <f>'Expenditures 15-22'!K295</f>
        <v>0</v>
      </c>
      <c r="G12" s="871"/>
    </row>
    <row r="13" spans="1:7" x14ac:dyDescent="0.2">
      <c r="A13" s="868" t="s">
        <v>108</v>
      </c>
      <c r="B13" s="869" t="s">
        <v>1992</v>
      </c>
      <c r="C13" s="870"/>
      <c r="D13" s="868" t="s">
        <v>522</v>
      </c>
      <c r="E13" s="867"/>
      <c r="F13" s="1933">
        <f>'Expenditures 15-22'!K342</f>
        <v>0</v>
      </c>
      <c r="G13" s="872"/>
    </row>
    <row r="14" spans="1:7" ht="12" customHeight="1" thickBot="1" x14ac:dyDescent="0.25">
      <c r="A14" s="1790"/>
      <c r="B14" s="1791"/>
      <c r="C14" s="1792"/>
      <c r="D14" s="1793" t="s">
        <v>522</v>
      </c>
      <c r="E14" s="1794" t="s">
        <v>1015</v>
      </c>
      <c r="F14" s="1795">
        <f>SUM(F8:F13)</f>
        <v>979698</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42000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702517</v>
      </c>
      <c r="G53" s="864"/>
    </row>
    <row r="54" spans="1:7" x14ac:dyDescent="0.2">
      <c r="A54" s="868" t="s">
        <v>479</v>
      </c>
      <c r="B54" s="868" t="s">
        <v>1552</v>
      </c>
      <c r="C54" s="888" t="s">
        <v>1039</v>
      </c>
      <c r="D54" s="884" t="s">
        <v>1157</v>
      </c>
      <c r="E54" s="867"/>
      <c r="F54" s="1937">
        <f>'Expenditures 15-22'!G114</f>
        <v>2968</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107162</v>
      </c>
      <c r="G57" s="864"/>
    </row>
    <row r="58" spans="1:7" x14ac:dyDescent="0.2">
      <c r="A58" s="868" t="s">
        <v>480</v>
      </c>
      <c r="B58" s="868" t="s">
        <v>1994</v>
      </c>
      <c r="C58" s="885" t="s">
        <v>1039</v>
      </c>
      <c r="D58" s="884" t="s">
        <v>1157</v>
      </c>
      <c r="E58" s="867"/>
      <c r="F58" s="1939">
        <f>'Expenditures 15-22'!G151</f>
        <v>0</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0</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3686</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0</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0</v>
      </c>
      <c r="G73" s="864"/>
    </row>
    <row r="74" spans="1:8" x14ac:dyDescent="0.2">
      <c r="A74" s="868" t="s">
        <v>456</v>
      </c>
      <c r="B74" s="868" t="s">
        <v>2009</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858333</v>
      </c>
      <c r="G76" s="864"/>
    </row>
    <row r="77" spans="1:8" s="892" customFormat="1" ht="12" customHeight="1" thickTop="1" thickBot="1" x14ac:dyDescent="0.25">
      <c r="A77" s="1799"/>
      <c r="B77" s="1796"/>
      <c r="C77" s="1792"/>
      <c r="D77" s="1797" t="s">
        <v>2011</v>
      </c>
      <c r="E77" s="1794"/>
      <c r="F77" s="1800">
        <f>(F14-F76)</f>
        <v>121365</v>
      </c>
      <c r="G77" s="868"/>
    </row>
    <row r="78" spans="1:8" s="892" customFormat="1" ht="12" customHeight="1" thickTop="1" x14ac:dyDescent="0.2">
      <c r="A78" s="1801"/>
      <c r="B78" s="1796"/>
      <c r="C78" s="1792"/>
      <c r="D78" s="1797" t="s">
        <v>2058</v>
      </c>
      <c r="E78" s="1794"/>
      <c r="F78" s="897">
        <v>0</v>
      </c>
      <c r="G78" s="898"/>
      <c r="H78" s="868"/>
    </row>
    <row r="79" spans="1:8" s="892" customFormat="1" ht="12" customHeight="1" thickBot="1" x14ac:dyDescent="0.25">
      <c r="A79" s="1802"/>
      <c r="B79" s="1796"/>
      <c r="C79" s="1792"/>
      <c r="D79" s="1797" t="s">
        <v>2012</v>
      </c>
      <c r="E79" s="1794" t="s">
        <v>1015</v>
      </c>
      <c r="F79" s="1803" t="str">
        <f>IF(F78&gt;0,F77/F78," Complete Line 78")</f>
        <v xml:space="preserve"> Complete Line 78</v>
      </c>
      <c r="G79" s="868"/>
    </row>
    <row r="80" spans="1:8" s="892" customFormat="1" ht="8.25" customHeight="1" thickTop="1" x14ac:dyDescent="0.2">
      <c r="A80" s="899"/>
      <c r="B80" s="868"/>
      <c r="C80" s="870"/>
      <c r="D80" s="900"/>
      <c r="E80" s="867"/>
      <c r="F80" s="901"/>
      <c r="G80" s="868"/>
    </row>
    <row r="81" spans="1:7" s="892" customFormat="1" ht="12" thickBot="1" x14ac:dyDescent="0.25">
      <c r="A81" s="2270" t="s">
        <v>1167</v>
      </c>
      <c r="B81" s="2271"/>
      <c r="C81" s="2271"/>
      <c r="D81" s="2271"/>
      <c r="E81" s="2271"/>
      <c r="F81" s="2272"/>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0</v>
      </c>
      <c r="G94" s="911"/>
    </row>
    <row r="95" spans="1:7" x14ac:dyDescent="0.2">
      <c r="A95" s="907" t="s">
        <v>142</v>
      </c>
      <c r="B95" s="907" t="s">
        <v>177</v>
      </c>
      <c r="C95" s="909">
        <v>1700</v>
      </c>
      <c r="D95" s="917" t="str">
        <f>'Revenues 9-14'!A82</f>
        <v>Total District/School Activity Income</v>
      </c>
      <c r="E95" s="905"/>
      <c r="F95" s="1809">
        <f>SUM('Revenues 9-14'!C82,'Revenues 9-14'!D82)</f>
        <v>0</v>
      </c>
      <c r="G95" s="911"/>
    </row>
    <row r="96" spans="1:7" x14ac:dyDescent="0.2">
      <c r="A96" s="907" t="s">
        <v>479</v>
      </c>
      <c r="B96" s="907" t="s">
        <v>178</v>
      </c>
      <c r="C96" s="909">
        <f>'Revenues 9-14'!B84</f>
        <v>1811</v>
      </c>
      <c r="D96" s="910" t="str">
        <f>'Revenues 9-14'!A84</f>
        <v>Rentals - Regular Textbooks</v>
      </c>
      <c r="E96" s="905"/>
      <c r="F96" s="1809">
        <f>'Revenues 9-14'!C84</f>
        <v>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34231</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97200</v>
      </c>
      <c r="G103" s="911"/>
    </row>
    <row r="104" spans="1:7" x14ac:dyDescent="0.2">
      <c r="A104" s="907" t="s">
        <v>479</v>
      </c>
      <c r="B104" s="907" t="s">
        <v>841</v>
      </c>
      <c r="C104" s="909">
        <f>'Revenues 9-14'!B106</f>
        <v>1993</v>
      </c>
      <c r="D104" s="910" t="str">
        <f>'Revenues 9-14'!A106</f>
        <v>Other Local Fees (Describe &amp; Itemize)</v>
      </c>
      <c r="E104" s="905"/>
      <c r="F104" s="1809">
        <f>('Revenues 9-14'!C106)</f>
        <v>4810</v>
      </c>
      <c r="G104" s="911"/>
    </row>
    <row r="105" spans="1:7" x14ac:dyDescent="0.2">
      <c r="A105" s="907" t="s">
        <v>524</v>
      </c>
      <c r="B105" s="907" t="s">
        <v>842</v>
      </c>
      <c r="C105" s="912">
        <v>3100</v>
      </c>
      <c r="D105" s="918" t="str">
        <f>'Revenues 9-14'!A131</f>
        <v>Total Special Education</v>
      </c>
      <c r="E105" s="905"/>
      <c r="F105" s="1809">
        <f>SUM('Revenues 9-14'!C131:D131,'Revenues 9-14'!F131)</f>
        <v>0</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295807</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0</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4597</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0</v>
      </c>
      <c r="G129" s="929"/>
    </row>
    <row r="130" spans="1:7" x14ac:dyDescent="0.2">
      <c r="A130" s="926" t="s">
        <v>689</v>
      </c>
      <c r="B130" s="926" t="s">
        <v>804</v>
      </c>
      <c r="C130" s="931">
        <v>4300</v>
      </c>
      <c r="D130" s="932" t="str">
        <f>'Revenues 9-14'!A211</f>
        <v>Total Title I</v>
      </c>
      <c r="E130" s="905"/>
      <c r="F130" s="1809">
        <f>SUM('Revenues 9-14'!C211,'Revenues 9-14'!D211,'Revenues 9-14'!F211,'Revenues 9-14'!G211)</f>
        <v>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0</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8763</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0</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0</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c r="G175" s="926"/>
    </row>
    <row r="176" spans="1:7" x14ac:dyDescent="0.2">
      <c r="A176" s="1942" t="s">
        <v>685</v>
      </c>
      <c r="B176" s="1943" t="s">
        <v>2057</v>
      </c>
      <c r="C176" s="1944">
        <v>3300</v>
      </c>
      <c r="D176" s="1945" t="s">
        <v>2061</v>
      </c>
      <c r="E176" s="905"/>
      <c r="F176" s="1929"/>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445408</v>
      </c>
    </row>
    <row r="179" spans="1:7" ht="12" customHeight="1" x14ac:dyDescent="0.2">
      <c r="A179" s="1790"/>
      <c r="B179" s="1804"/>
      <c r="C179" s="1805"/>
      <c r="D179" s="1806" t="s">
        <v>2014</v>
      </c>
      <c r="E179" s="1807"/>
      <c r="F179" s="1809">
        <f>'PCTC-OEPP 27-28'!F77-F178</f>
        <v>-324043</v>
      </c>
    </row>
    <row r="180" spans="1:7" ht="12" customHeight="1" x14ac:dyDescent="0.2">
      <c r="A180" s="1790"/>
      <c r="B180" s="1804"/>
      <c r="C180" s="1805"/>
      <c r="D180" s="1806" t="s">
        <v>1923</v>
      </c>
      <c r="E180" s="1807"/>
      <c r="F180" s="1809">
        <f>'Cap Outlay Deprec 26'!I18</f>
        <v>18343</v>
      </c>
    </row>
    <row r="181" spans="1:7" ht="12" customHeight="1" x14ac:dyDescent="0.2">
      <c r="A181" s="1790"/>
      <c r="B181" s="1804"/>
      <c r="C181" s="1805"/>
      <c r="D181" s="1806" t="s">
        <v>2015</v>
      </c>
      <c r="E181" s="1807"/>
      <c r="F181" s="1809">
        <f>F179+F180</f>
        <v>-305700</v>
      </c>
    </row>
    <row r="182" spans="1:7" ht="12" customHeight="1" x14ac:dyDescent="0.2">
      <c r="A182" s="1790"/>
      <c r="B182" s="1810"/>
      <c r="C182" s="1805"/>
      <c r="D182" s="1806" t="str">
        <f>D78</f>
        <v>9 Month ADA from District Average Daily Attendance/Prior General State Aid Inquiry 2017-2018</v>
      </c>
      <c r="E182" s="1807"/>
      <c r="F182" s="1811">
        <f>'PCTC-OEPP 27-28'!F78</f>
        <v>0</v>
      </c>
      <c r="G182" s="929"/>
    </row>
    <row r="183" spans="1:7" ht="12" customHeight="1" thickBot="1" x14ac:dyDescent="0.25">
      <c r="A183" s="1790"/>
      <c r="B183" s="1810"/>
      <c r="C183" s="1805"/>
      <c r="D183" s="1806" t="s">
        <v>2016</v>
      </c>
      <c r="E183" s="1807" t="s">
        <v>1626</v>
      </c>
      <c r="F183" s="1812" t="e">
        <f>F181/F182</f>
        <v>#DIV/0!</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4" t="s">
        <v>1924</v>
      </c>
      <c r="B4" s="2285"/>
      <c r="C4" s="2285"/>
      <c r="D4" s="2285"/>
      <c r="E4" s="2285"/>
      <c r="F4" s="2285"/>
      <c r="G4" s="2286"/>
    </row>
    <row r="5" spans="1:7" x14ac:dyDescent="0.25">
      <c r="A5" s="2287"/>
      <c r="B5" s="2288"/>
      <c r="C5" s="2288"/>
      <c r="D5" s="2288"/>
      <c r="E5" s="2288"/>
      <c r="F5" s="2288"/>
      <c r="G5" s="2289"/>
    </row>
    <row r="6" spans="1:7" ht="18.75" x14ac:dyDescent="0.25">
      <c r="A6" s="1554" t="s">
        <v>1925</v>
      </c>
      <c r="B6" s="1555"/>
      <c r="C6" s="1555"/>
      <c r="D6" s="1555"/>
      <c r="E6" s="1555"/>
      <c r="F6" s="1555"/>
      <c r="G6" s="1556"/>
    </row>
    <row r="7" spans="1:7" ht="30.75" customHeight="1" x14ac:dyDescent="0.25">
      <c r="A7" s="2290" t="s">
        <v>2074</v>
      </c>
      <c r="B7" s="2291"/>
      <c r="C7" s="2291"/>
      <c r="D7" s="2291"/>
      <c r="E7" s="2291"/>
      <c r="F7" s="2291"/>
      <c r="G7" s="2292"/>
    </row>
    <row r="8" spans="1:7" ht="15.75" customHeight="1" x14ac:dyDescent="0.25">
      <c r="A8" s="2293" t="s">
        <v>2023</v>
      </c>
      <c r="B8" s="2294"/>
      <c r="C8" s="2294"/>
      <c r="D8" s="2294"/>
      <c r="E8" s="2294"/>
      <c r="F8" s="2294"/>
      <c r="G8" s="2295"/>
    </row>
    <row r="9" spans="1:7" ht="35.25" customHeight="1" x14ac:dyDescent="0.25">
      <c r="A9" s="2290" t="s">
        <v>2022</v>
      </c>
      <c r="B9" s="2291"/>
      <c r="C9" s="2291"/>
      <c r="D9" s="2291"/>
      <c r="E9" s="2291"/>
      <c r="F9" s="2291"/>
      <c r="G9" s="2292"/>
    </row>
    <row r="10" spans="1:7" ht="15" customHeight="1" x14ac:dyDescent="0.25">
      <c r="A10" s="1557" t="s">
        <v>1926</v>
      </c>
      <c r="B10" s="1558"/>
      <c r="C10" s="1558"/>
      <c r="D10" s="1558"/>
      <c r="E10" s="1558"/>
      <c r="F10" s="1558"/>
      <c r="G10" s="1559"/>
    </row>
    <row r="11" spans="1:7" ht="17.25" customHeight="1" x14ac:dyDescent="0.25">
      <c r="A11" s="2290" t="s">
        <v>1940</v>
      </c>
      <c r="B11" s="2291"/>
      <c r="C11" s="2291"/>
      <c r="D11" s="2291"/>
      <c r="E11" s="2291"/>
      <c r="F11" s="2291"/>
      <c r="G11" s="2292"/>
    </row>
    <row r="12" spans="1:7" ht="15" customHeight="1" x14ac:dyDescent="0.25">
      <c r="A12" s="1557" t="s">
        <v>1931</v>
      </c>
      <c r="B12" s="1558"/>
      <c r="C12" s="1558"/>
      <c r="D12" s="1558"/>
      <c r="E12" s="1558"/>
      <c r="F12" s="1558"/>
      <c r="G12" s="1559"/>
    </row>
    <row r="13" spans="1:7" ht="32.25" customHeight="1" x14ac:dyDescent="0.25">
      <c r="A13" s="2281" t="s">
        <v>1932</v>
      </c>
      <c r="B13" s="2282"/>
      <c r="C13" s="2282"/>
      <c r="D13" s="2282"/>
      <c r="E13" s="2282"/>
      <c r="F13" s="2282"/>
      <c r="G13" s="2283"/>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2102</v>
      </c>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6" t="s">
        <v>1778</v>
      </c>
      <c r="B5" s="2297"/>
      <c r="C5" s="2297"/>
      <c r="D5" s="2297"/>
      <c r="E5" s="2297"/>
      <c r="F5" s="2297"/>
      <c r="G5" s="2298"/>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c r="F10" s="973"/>
      <c r="G10" s="974"/>
      <c r="H10" s="162"/>
      <c r="I10" s="162"/>
    </row>
    <row r="11" spans="1:9" s="667" customFormat="1" ht="22.5" customHeight="1" x14ac:dyDescent="0.2">
      <c r="A11" s="2301" t="s">
        <v>1944</v>
      </c>
      <c r="B11" s="2302"/>
      <c r="C11" s="2302"/>
      <c r="D11" s="2303"/>
      <c r="E11" s="976"/>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96228</v>
      </c>
      <c r="F19" s="1820"/>
      <c r="G19" s="1822">
        <f>'Expenditures 15-22'!K33-SUM('Expenditures 15-22'!G33,'Expenditures 15-22'!I33)+'Expenditures 15-22'!D229</f>
        <v>96228</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0</v>
      </c>
      <c r="F21" s="1823"/>
      <c r="G21" s="1826">
        <f>'Expenditures 15-22'!K42-SUM('Expenditures 15-22'!G42,'Expenditures 15-22'!I42)+'Expenditures 15-22'!K120-SUM('Expenditures 15-22'!G120,'Expenditures 15-22'!I120)+'Expenditures 15-22'!K180-SUM('Expenditures 15-22'!G180,'Expenditures 15-22'!I180)+'Expenditures 15-22'!D238</f>
        <v>0</v>
      </c>
      <c r="H21" s="986"/>
      <c r="I21" s="162"/>
    </row>
    <row r="22" spans="1:9" s="667" customFormat="1" ht="12" customHeight="1" x14ac:dyDescent="0.2">
      <c r="A22" s="993" t="s">
        <v>585</v>
      </c>
      <c r="B22" s="994"/>
      <c r="C22" s="992">
        <v>2200</v>
      </c>
      <c r="D22" s="1823"/>
      <c r="E22" s="1825">
        <f>'Expenditures 15-22'!K47-SUM('Expenditures 15-22'!G47,'Expenditures 15-22'!I47)+'Expenditures 15-22'!D243</f>
        <v>4488</v>
      </c>
      <c r="F22" s="1823"/>
      <c r="G22" s="1826">
        <f>'Expenditures 15-22'!K47-SUM('Expenditures 15-22'!G47,'Expenditures 15-22'!I47)+'Expenditures 15-22'!D243</f>
        <v>4488</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9900</v>
      </c>
      <c r="F23" s="1823"/>
      <c r="G23" s="1825">
        <f>'Expenditures 15-22'!K53-SUM('Expenditures 15-22'!G53,'Expenditures 15-22'!I53)+'Expenditures 15-22'!D257+'Expenditures 15-22'!K330-SUM('Expenditures 15-22'!G330,'Expenditures 15-22'!I330)</f>
        <v>9900</v>
      </c>
      <c r="H23" s="986"/>
      <c r="I23" s="162"/>
    </row>
    <row r="24" spans="1:9" s="667" customFormat="1" ht="12" customHeight="1" x14ac:dyDescent="0.2">
      <c r="A24" s="993" t="s">
        <v>587</v>
      </c>
      <c r="B24" s="994"/>
      <c r="C24" s="992">
        <v>2400</v>
      </c>
      <c r="D24" s="1823"/>
      <c r="E24" s="1825">
        <f>'Expenditures 15-22'!K57-SUM('Expenditures 15-22'!G57,'Expenditures 15-22'!I57)+'Expenditures 15-22'!D261</f>
        <v>0</v>
      </c>
      <c r="F24" s="1823"/>
      <c r="G24" s="1826">
        <f>'Expenditures 15-22'!K57-SUM('Expenditures 15-22'!G57,'Expenditures 15-22'!I57)+'Expenditures 15-22'!D261</f>
        <v>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0</v>
      </c>
      <c r="E27" s="1825">
        <f>E8</f>
        <v>0</v>
      </c>
      <c r="F27" s="1825">
        <f>'Expenditures 15-22'!K60-SUM('Expenditures 15-22'!G60,'Expenditures 15-22'!I60)+'Expenditures 15-22'!D264-E8</f>
        <v>0</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50425</v>
      </c>
      <c r="F28" s="1827">
        <f>'Expenditures 15-22'!K61-SUM('Expenditures 15-22'!G61,'Expenditures 15-22'!I61)+'Expenditures 15-22'!K124-SUM('Expenditures 15-22'!G124,'Expenditures 15-22'!I124)+'Expenditures 15-22'!D266-E9</f>
        <v>50425</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2174</v>
      </c>
      <c r="F29" s="1823"/>
      <c r="G29" s="1826">
        <f>'Expenditures 15-22'!K62-SUM('Expenditures 15-22'!G62,'Expenditures 15-22'!I62)+'Expenditures 15-22'!K125-SUM('Expenditures 15-22'!G125,'Expenditures 15-22'!I125)+'Expenditures 15-22'!K182-SUM('Expenditures 15-22'!G182,'Expenditures 15-22'!I182)+'Expenditures 15-22'!D267</f>
        <v>2174</v>
      </c>
      <c r="H29" s="984"/>
    </row>
    <row r="30" spans="1:9" ht="12" customHeight="1" x14ac:dyDescent="0.2">
      <c r="A30" s="993" t="s">
        <v>102</v>
      </c>
      <c r="B30" s="996"/>
      <c r="C30" s="992">
        <v>2560</v>
      </c>
      <c r="D30" s="1823"/>
      <c r="E30" s="1825">
        <f>'Expenditures 15-22'!K63-SUM('Expenditures 15-22'!G63,'Expenditures 15-22'!I63)+'Expenditures 15-22'!D268-E10</f>
        <v>0</v>
      </c>
      <c r="F30" s="1823"/>
      <c r="G30" s="1825">
        <f>'Expenditures 15-22'!K63-SUM('Expenditures 15-22'!G63,'Expenditures 15-22'!I63)+'Expenditures 15-22'!D268-E10</f>
        <v>0</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150</v>
      </c>
      <c r="F35" s="1823"/>
      <c r="G35" s="1825">
        <f>'Expenditures 15-22'!K69-SUM('Expenditures 15-22'!G69,'Expenditures 15-22'!I69)+'Expenditures 15-22'!D274</f>
        <v>150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1929</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0</v>
      </c>
      <c r="E41" s="1827">
        <f>SUM(E19:E40)</f>
        <v>163365</v>
      </c>
      <c r="F41" s="1827">
        <f>SUM(F19:F39)</f>
        <v>50425</v>
      </c>
      <c r="G41" s="1827">
        <f>SUM(G19:G40)</f>
        <v>112940</v>
      </c>
    </row>
    <row r="42" spans="1:7" x14ac:dyDescent="0.2">
      <c r="A42" s="986"/>
      <c r="B42" s="162"/>
      <c r="C42" s="1000"/>
      <c r="D42" s="2299" t="s">
        <v>543</v>
      </c>
      <c r="E42" s="2300"/>
      <c r="F42" s="1001" t="s">
        <v>544</v>
      </c>
      <c r="G42" s="1002"/>
    </row>
    <row r="43" spans="1:7" ht="12" customHeight="1" x14ac:dyDescent="0.2">
      <c r="A43" s="986"/>
      <c r="B43" s="162"/>
      <c r="C43" s="1000"/>
      <c r="D43" s="1828" t="s">
        <v>493</v>
      </c>
      <c r="E43" s="1829">
        <f>D41</f>
        <v>0</v>
      </c>
      <c r="F43" s="1828" t="s">
        <v>495</v>
      </c>
      <c r="G43" s="1829">
        <f>F41</f>
        <v>50425</v>
      </c>
    </row>
    <row r="44" spans="1:7" ht="12" customHeight="1" x14ac:dyDescent="0.2">
      <c r="A44" s="986"/>
      <c r="B44" s="162"/>
      <c r="C44" s="1000"/>
      <c r="D44" s="1828" t="s">
        <v>494</v>
      </c>
      <c r="E44" s="1829">
        <f>E41</f>
        <v>163365</v>
      </c>
      <c r="F44" s="1828" t="s">
        <v>494</v>
      </c>
      <c r="G44" s="1829">
        <f>G41</f>
        <v>112940</v>
      </c>
    </row>
    <row r="45" spans="1:7" ht="12" customHeight="1" x14ac:dyDescent="0.2">
      <c r="A45" s="986"/>
      <c r="B45" s="162"/>
      <c r="C45" s="162"/>
      <c r="D45" s="1830" t="s">
        <v>1063</v>
      </c>
      <c r="E45" s="1831">
        <f>(E43/E44)</f>
        <v>0</v>
      </c>
      <c r="F45" s="1830" t="s">
        <v>1063</v>
      </c>
      <c r="G45" s="1831">
        <f>(G43/G44)</f>
        <v>0.44647600495838496</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L31" sqref="L31"/>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07" t="s">
        <v>1446</v>
      </c>
      <c r="B1" s="2307"/>
      <c r="C1" s="2307"/>
      <c r="D1" s="2307"/>
      <c r="E1" s="2307"/>
      <c r="F1" s="2307"/>
    </row>
    <row r="2" spans="1:10" x14ac:dyDescent="0.2">
      <c r="A2" s="1910" t="s">
        <v>2047</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08" t="s">
        <v>1627</v>
      </c>
      <c r="B5" s="2309"/>
      <c r="C5" s="2310"/>
      <c r="D5" s="2310"/>
      <c r="E5" s="2310"/>
      <c r="F5" s="2310"/>
    </row>
    <row r="6" spans="1:10" ht="12" customHeight="1" x14ac:dyDescent="0.25">
      <c r="A6" s="1873"/>
      <c r="B6" s="1874"/>
      <c r="C6" s="2311" t="str">
        <f>COVER!A17</f>
        <v>LaSalle-Peru Area Career Center</v>
      </c>
      <c r="D6" s="2311"/>
      <c r="E6" s="2311"/>
      <c r="F6" s="1875"/>
    </row>
    <row r="7" spans="1:10" ht="11.25" customHeight="1" thickBot="1" x14ac:dyDescent="0.3">
      <c r="A7" s="1873"/>
      <c r="B7" s="1874"/>
      <c r="C7" s="2312">
        <f>COVER!A13</f>
        <v>35050120040</v>
      </c>
      <c r="D7" s="2312"/>
      <c r="E7" s="2312"/>
      <c r="F7" s="1875"/>
    </row>
    <row r="8" spans="1:10" ht="25.5" customHeight="1" thickBot="1" x14ac:dyDescent="0.25">
      <c r="A8" s="1916" t="s">
        <v>2024</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t="s">
        <v>2096</v>
      </c>
      <c r="D13" s="1888" t="s">
        <v>2096</v>
      </c>
      <c r="E13" s="1891"/>
      <c r="F13" s="1890" t="s">
        <v>2097</v>
      </c>
      <c r="H13" s="1901">
        <f t="shared" si="0"/>
        <v>5</v>
      </c>
      <c r="I13" s="1901">
        <f t="shared" si="1"/>
        <v>5</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t="s">
        <v>2096</v>
      </c>
      <c r="D21" s="1888" t="s">
        <v>2096</v>
      </c>
      <c r="E21" s="1891"/>
      <c r="F21" s="1890" t="s">
        <v>2097</v>
      </c>
      <c r="H21" s="1901">
        <f t="shared" si="0"/>
        <v>5</v>
      </c>
      <c r="I21" s="1901">
        <f t="shared" si="1"/>
        <v>5</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t="s">
        <v>2096</v>
      </c>
      <c r="D25" s="1888" t="s">
        <v>2096</v>
      </c>
      <c r="E25" s="1891"/>
      <c r="F25" s="1890" t="s">
        <v>2097</v>
      </c>
      <c r="H25" s="1901">
        <f t="shared" si="0"/>
        <v>5</v>
      </c>
      <c r="I25" s="1901">
        <f t="shared" si="1"/>
        <v>5</v>
      </c>
      <c r="J25" s="1901">
        <f t="shared" si="2"/>
        <v>0</v>
      </c>
    </row>
    <row r="26" spans="1:12" ht="12" customHeight="1" x14ac:dyDescent="0.2">
      <c r="A26" s="1886" t="s">
        <v>1615</v>
      </c>
      <c r="B26" s="1887"/>
      <c r="C26" s="1888"/>
      <c r="D26" s="1888"/>
      <c r="E26" s="1891"/>
      <c r="F26" s="1890"/>
      <c r="H26" s="1901">
        <f t="shared" si="0"/>
        <v>0</v>
      </c>
      <c r="I26" s="1901">
        <f t="shared" si="1"/>
        <v>0</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15</v>
      </c>
      <c r="I34" s="1901">
        <f>SUM(I11:I32)</f>
        <v>15</v>
      </c>
      <c r="J34" s="1901">
        <f>SUM(J11:J32)</f>
        <v>0</v>
      </c>
      <c r="K34" s="1901">
        <f>SUM(H34:J34)</f>
        <v>30</v>
      </c>
    </row>
    <row r="35" spans="1:11" ht="12" customHeight="1" x14ac:dyDescent="0.2">
      <c r="A35" s="1894" t="s">
        <v>1459</v>
      </c>
      <c r="B35" s="1895"/>
      <c r="C35" s="2313"/>
      <c r="D35" s="2313"/>
      <c r="E35" s="2313"/>
      <c r="F35" s="2314"/>
    </row>
    <row r="36" spans="1:11" ht="12" customHeight="1" x14ac:dyDescent="0.2">
      <c r="A36" s="2304"/>
      <c r="B36" s="2305"/>
      <c r="C36" s="2305"/>
      <c r="D36" s="2305"/>
      <c r="E36" s="2305"/>
      <c r="F36" s="2306"/>
    </row>
    <row r="37" spans="1:11" ht="12" customHeight="1" x14ac:dyDescent="0.2">
      <c r="A37" s="2304"/>
      <c r="B37" s="2305"/>
      <c r="C37" s="2305"/>
      <c r="D37" s="2305"/>
      <c r="E37" s="2305"/>
      <c r="F37" s="2306"/>
    </row>
    <row r="38" spans="1:11" ht="12" customHeight="1" x14ac:dyDescent="0.2">
      <c r="A38" s="2318"/>
      <c r="B38" s="2319"/>
      <c r="C38" s="2319"/>
      <c r="D38" s="2319"/>
      <c r="E38" s="2319"/>
      <c r="F38" s="2320"/>
    </row>
    <row r="39" spans="1:11" ht="4.5" hidden="1" customHeight="1" x14ac:dyDescent="0.2">
      <c r="A39" s="1896"/>
      <c r="B39" s="1896"/>
      <c r="C39" s="1896"/>
      <c r="D39" s="1896"/>
      <c r="E39" s="1896"/>
      <c r="F39" s="1896"/>
    </row>
    <row r="40" spans="1:11" s="1893" customFormat="1" ht="12" customHeight="1" x14ac:dyDescent="0.25">
      <c r="A40" s="1897" t="s">
        <v>1458</v>
      </c>
      <c r="B40" s="1898"/>
      <c r="C40" s="2321"/>
      <c r="D40" s="2321"/>
      <c r="E40" s="2321"/>
      <c r="F40" s="2322"/>
      <c r="H40" s="1902"/>
      <c r="I40" s="1902"/>
      <c r="J40" s="1902"/>
      <c r="K40" s="1902"/>
    </row>
    <row r="41" spans="1:11" s="1893" customFormat="1" ht="12" customHeight="1" x14ac:dyDescent="0.25">
      <c r="A41" s="2323"/>
      <c r="B41" s="2324"/>
      <c r="C41" s="2324"/>
      <c r="D41" s="2324"/>
      <c r="E41" s="2324"/>
      <c r="F41" s="2325"/>
      <c r="H41" s="1902"/>
      <c r="I41" s="1902"/>
      <c r="J41" s="1902"/>
      <c r="K41" s="1902"/>
    </row>
    <row r="42" spans="1:11" s="1893" customFormat="1" ht="12" customHeight="1" x14ac:dyDescent="0.25">
      <c r="A42" s="2323"/>
      <c r="B42" s="2324"/>
      <c r="C42" s="2324"/>
      <c r="D42" s="2324"/>
      <c r="E42" s="2324"/>
      <c r="F42" s="2325"/>
      <c r="H42" s="1902"/>
      <c r="I42" s="1902"/>
      <c r="J42" s="1902"/>
      <c r="K42" s="1902"/>
    </row>
    <row r="43" spans="1:11" s="1893" customFormat="1" ht="15" x14ac:dyDescent="0.25">
      <c r="A43" s="2315"/>
      <c r="B43" s="2316"/>
      <c r="C43" s="2316"/>
      <c r="D43" s="2316"/>
      <c r="E43" s="2316"/>
      <c r="F43" s="2317"/>
      <c r="H43" s="1902"/>
      <c r="I43" s="1902"/>
      <c r="J43" s="1902"/>
      <c r="K43" s="1902"/>
    </row>
    <row r="44" spans="1:11" s="1893" customFormat="1" ht="12" hidden="1" customHeight="1" x14ac:dyDescent="0.25">
      <c r="A44" s="2315"/>
      <c r="B44" s="2316"/>
      <c r="C44" s="2316"/>
      <c r="D44" s="2316"/>
      <c r="E44" s="2316"/>
      <c r="F44" s="2317"/>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1" t="str">
        <f>COVER!A17</f>
        <v>LaSalle-Peru Area Career Center</v>
      </c>
      <c r="J6" s="2332"/>
      <c r="Q6" s="1684"/>
    </row>
    <row r="7" spans="1:17" x14ac:dyDescent="0.2">
      <c r="A7" s="2333" t="s">
        <v>924</v>
      </c>
      <c r="B7" s="2334"/>
      <c r="C7" s="2334"/>
      <c r="D7" s="2334"/>
      <c r="E7" s="2335"/>
      <c r="F7" s="1016"/>
      <c r="G7" s="1008"/>
      <c r="H7" s="1015" t="s">
        <v>390</v>
      </c>
      <c r="I7" s="2336">
        <f>COVER!A13</f>
        <v>35050120040</v>
      </c>
      <c r="J7" s="2336"/>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7" t="s">
        <v>502</v>
      </c>
      <c r="B11" s="2338"/>
      <c r="C11" s="2339"/>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11166</v>
      </c>
      <c r="F12" s="1038"/>
      <c r="G12" s="1832">
        <f t="shared" ref="G12:G18" si="0">SUM(E12:F12)</f>
        <v>11166</v>
      </c>
      <c r="H12" s="1039"/>
      <c r="I12" s="1038"/>
      <c r="J12" s="1832">
        <f t="shared" ref="J12:J18" si="1">SUM(H12:I12)</f>
        <v>0</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0" t="s">
        <v>7</v>
      </c>
      <c r="C18" s="2341"/>
      <c r="D18" s="2342"/>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11166</v>
      </c>
      <c r="F19" s="1834">
        <f t="shared" si="2"/>
        <v>0</v>
      </c>
      <c r="G19" s="1834">
        <f t="shared" si="2"/>
        <v>11166</v>
      </c>
      <c r="H19" s="1834">
        <f t="shared" si="2"/>
        <v>0</v>
      </c>
      <c r="I19" s="1834">
        <f t="shared" si="2"/>
        <v>0</v>
      </c>
      <c r="J19" s="1834">
        <f t="shared" si="2"/>
        <v>0</v>
      </c>
    </row>
    <row r="20" spans="1:10" ht="13.5" thickTop="1" x14ac:dyDescent="0.2">
      <c r="A20" s="1034">
        <v>9</v>
      </c>
      <c r="B20" s="2343" t="s">
        <v>1703</v>
      </c>
      <c r="C20" s="2343"/>
      <c r="D20" s="2344"/>
      <c r="E20" s="1045"/>
      <c r="F20" s="1045"/>
      <c r="G20" s="1045"/>
      <c r="H20" s="1045"/>
      <c r="I20" s="1045"/>
      <c r="J20" s="1835" t="str">
        <f>IF(AND(G19&gt;0,J19&gt;0),(((J19-G19)/G19)),"Enter Budget Data")</f>
        <v>Enter Budget Data</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49"/>
      <c r="D26" s="2349"/>
      <c r="E26" s="1049"/>
      <c r="F26" s="2348"/>
      <c r="G26" s="2348"/>
    </row>
    <row r="27" spans="1:10" x14ac:dyDescent="0.2">
      <c r="B27" s="1046"/>
      <c r="C27" s="1050" t="s">
        <v>1093</v>
      </c>
      <c r="D27" s="1051"/>
      <c r="E27" s="1052"/>
      <c r="F27" s="2345" t="s">
        <v>1589</v>
      </c>
      <c r="G27" s="2345"/>
    </row>
    <row r="28" spans="1:10" ht="28.5" customHeight="1" x14ac:dyDescent="0.2">
      <c r="B28" s="1046"/>
      <c r="C28" s="2347"/>
      <c r="D28" s="2347"/>
      <c r="E28" s="1053"/>
      <c r="F28" s="2347"/>
      <c r="G28" s="2347"/>
    </row>
    <row r="29" spans="1:10" x14ac:dyDescent="0.2">
      <c r="B29" s="1046"/>
      <c r="C29" s="1054" t="s">
        <v>1642</v>
      </c>
      <c r="E29" s="1055"/>
      <c r="F29" s="2346" t="s">
        <v>1590</v>
      </c>
      <c r="G29" s="2346"/>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8" t="s">
        <v>134</v>
      </c>
      <c r="D33" s="2329"/>
      <c r="E33" s="2329"/>
      <c r="F33" s="2329"/>
      <c r="G33" s="2329"/>
      <c r="H33" s="2329"/>
      <c r="I33" s="2329"/>
    </row>
    <row r="34" spans="1:10" ht="10.35" customHeight="1" x14ac:dyDescent="0.2">
      <c r="C34" s="2329"/>
      <c r="D34" s="2329"/>
      <c r="E34" s="2329"/>
      <c r="F34" s="2329"/>
      <c r="G34" s="2329"/>
      <c r="H34" s="2329"/>
      <c r="I34" s="2329"/>
    </row>
    <row r="35" spans="1:10" ht="7.5" customHeight="1" x14ac:dyDescent="0.2">
      <c r="C35" s="1061"/>
    </row>
    <row r="36" spans="1:10" ht="13.5" customHeight="1" x14ac:dyDescent="0.2">
      <c r="B36" s="1060"/>
      <c r="C36" s="2330" t="s">
        <v>1943</v>
      </c>
      <c r="D36" s="2329"/>
      <c r="E36" s="2329"/>
      <c r="F36" s="2329"/>
      <c r="G36" s="2329"/>
      <c r="H36" s="2329"/>
      <c r="I36" s="2329"/>
      <c r="J36" s="1062"/>
    </row>
    <row r="37" spans="1:10" ht="22.5" customHeight="1" x14ac:dyDescent="0.2">
      <c r="C37" s="2329"/>
      <c r="D37" s="2329"/>
      <c r="E37" s="2329"/>
      <c r="F37" s="2329"/>
      <c r="G37" s="2329"/>
      <c r="H37" s="2329"/>
      <c r="I37" s="2329"/>
      <c r="J37" s="1062"/>
    </row>
    <row r="38" spans="1:10" ht="7.5" customHeight="1" x14ac:dyDescent="0.2">
      <c r="C38" s="1061"/>
      <c r="D38" s="1063"/>
      <c r="E38" s="1064"/>
      <c r="F38" s="1065"/>
      <c r="G38" s="1064"/>
    </row>
    <row r="39" spans="1:10" ht="13.5" customHeight="1" x14ac:dyDescent="0.2">
      <c r="B39" s="1060"/>
      <c r="C39" s="2326" t="s">
        <v>937</v>
      </c>
      <c r="D39" s="2327"/>
      <c r="E39" s="2327"/>
      <c r="F39" s="2327"/>
      <c r="G39" s="2327"/>
      <c r="H39" s="2327"/>
      <c r="I39" s="2327"/>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20" zoomScaleNormal="120" workbookViewId="0"/>
  </sheetViews>
  <sheetFormatPr defaultColWidth="9.140625" defaultRowHeight="12.75" x14ac:dyDescent="0.2"/>
  <cols>
    <col min="1" max="1" width="3" style="329" customWidth="1"/>
    <col min="2" max="2" width="99.8554687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2100</v>
      </c>
    </row>
    <row r="6" spans="1:2" x14ac:dyDescent="0.2">
      <c r="A6" s="1067">
        <v>2</v>
      </c>
      <c r="B6" s="329" t="s">
        <v>2101</v>
      </c>
    </row>
    <row r="7" spans="1:2" x14ac:dyDescent="0.2">
      <c r="A7" s="1067">
        <v>3</v>
      </c>
      <c r="B7" s="329" t="s">
        <v>2103</v>
      </c>
    </row>
    <row r="8" spans="1:2" x14ac:dyDescent="0.2">
      <c r="A8" s="1067"/>
      <c r="B8" s="329" t="s">
        <v>2104</v>
      </c>
    </row>
    <row r="9" spans="1:2" x14ac:dyDescent="0.2">
      <c r="A9" s="1068"/>
      <c r="B9" s="329" t="s">
        <v>2105</v>
      </c>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c r="B54" s="329" t="str">
        <f>COVER!A17</f>
        <v>LaSalle-Peru Area Career Center</v>
      </c>
    </row>
    <row r="55" spans="1:2" x14ac:dyDescent="0.2">
      <c r="A55" s="1068"/>
      <c r="B55" s="329">
        <f>COVER!A13</f>
        <v>35050120040</v>
      </c>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row>
    <row r="65" spans="2:2" x14ac:dyDescent="0.2">
      <c r="B65" s="1069"/>
    </row>
  </sheetData>
  <phoneticPr fontId="13" type="noConversion"/>
  <pageMargins left="0.2" right="0.2" top="1.17" bottom="0.75" header="0.19" footer="0.16"/>
  <pageSetup scale="95"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0" t="s">
        <v>1784</v>
      </c>
      <c r="B18" s="2350"/>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1" t="s">
        <v>1790</v>
      </c>
      <c r="B1" s="2352"/>
      <c r="C1" s="2352"/>
      <c r="D1" s="2352"/>
      <c r="E1" s="2352"/>
      <c r="F1" s="2353"/>
    </row>
    <row r="2" spans="1:8" ht="45" customHeight="1" x14ac:dyDescent="0.2">
      <c r="A2" s="2361" t="s">
        <v>1791</v>
      </c>
      <c r="B2" s="2362"/>
      <c r="C2" s="2362"/>
      <c r="D2" s="2362"/>
      <c r="E2" s="2362"/>
      <c r="F2" s="2363"/>
      <c r="G2" s="1073"/>
      <c r="H2" s="1073"/>
    </row>
    <row r="3" spans="1:8" ht="57" customHeight="1" x14ac:dyDescent="0.2">
      <c r="A3" s="2364" t="s">
        <v>1786</v>
      </c>
      <c r="B3" s="2365"/>
      <c r="C3" s="2365"/>
      <c r="D3" s="2365"/>
      <c r="E3" s="2365"/>
      <c r="F3" s="2366"/>
      <c r="G3" s="1073"/>
      <c r="H3" s="1073"/>
    </row>
    <row r="4" spans="1:8" ht="14.25" customHeight="1" x14ac:dyDescent="0.2">
      <c r="A4" s="2370" t="s">
        <v>2055</v>
      </c>
      <c r="B4" s="2371"/>
      <c r="C4" s="2371"/>
      <c r="D4" s="2371"/>
      <c r="E4" s="2371"/>
      <c r="F4" s="2372"/>
      <c r="G4" s="1073"/>
      <c r="H4" s="1073"/>
    </row>
    <row r="5" spans="1:8" ht="14.25" customHeight="1" x14ac:dyDescent="0.2">
      <c r="A5" s="2373" t="s">
        <v>2056</v>
      </c>
      <c r="B5" s="2374"/>
      <c r="C5" s="2374"/>
      <c r="D5" s="2374"/>
      <c r="E5" s="2374"/>
      <c r="F5" s="2375"/>
      <c r="G5" s="1073"/>
      <c r="H5" s="1073"/>
    </row>
    <row r="6" spans="1:8" s="1074" customFormat="1" ht="41.25" customHeight="1" x14ac:dyDescent="0.2">
      <c r="A6" s="2367" t="s">
        <v>1792</v>
      </c>
      <c r="B6" s="2368"/>
      <c r="C6" s="2368"/>
      <c r="D6" s="2368"/>
      <c r="E6" s="2368"/>
      <c r="F6" s="2369"/>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878691</v>
      </c>
      <c r="C8" s="1836">
        <f>'Acct Summary 7-8'!D8</f>
        <v>131507</v>
      </c>
      <c r="D8" s="1836">
        <f>'Acct Summary 7-8'!F8</f>
        <v>4597</v>
      </c>
      <c r="E8" s="1836">
        <f>'Acct Summary 7-8'!I8</f>
        <v>0</v>
      </c>
      <c r="F8" s="1836">
        <f>SUM(B8:E8)</f>
        <v>1014795</v>
      </c>
    </row>
    <row r="9" spans="1:8" s="1078" customFormat="1" ht="14.25" customHeight="1" thickBot="1" x14ac:dyDescent="0.25">
      <c r="A9" s="1077" t="s">
        <v>1436</v>
      </c>
      <c r="B9" s="1837">
        <f>'Acct Summary 7-8'!C17</f>
        <v>816251</v>
      </c>
      <c r="C9" s="1837">
        <f>'Acct Summary 7-8'!D17</f>
        <v>157587</v>
      </c>
      <c r="D9" s="1837">
        <f>'Acct Summary 7-8'!F17</f>
        <v>5860</v>
      </c>
      <c r="E9" s="1836"/>
      <c r="F9" s="1836">
        <f>SUM(B9:E9)</f>
        <v>979698</v>
      </c>
    </row>
    <row r="10" spans="1:8" s="1078" customFormat="1" ht="14.25" thickTop="1" thickBot="1" x14ac:dyDescent="0.25">
      <c r="A10" s="1079" t="s">
        <v>1437</v>
      </c>
      <c r="B10" s="1838">
        <f>(B8-B9)</f>
        <v>62440</v>
      </c>
      <c r="C10" s="1838">
        <f>(C8-C9)</f>
        <v>-26080</v>
      </c>
      <c r="D10" s="1838">
        <f>(D8-D9)</f>
        <v>-1263</v>
      </c>
      <c r="E10" s="1837">
        <f>(E8-E9)</f>
        <v>0</v>
      </c>
      <c r="F10" s="1839">
        <f>SUM(F8-F9)</f>
        <v>35097</v>
      </c>
    </row>
    <row r="11" spans="1:8" s="1078" customFormat="1" ht="14.25" thickTop="1" thickBot="1" x14ac:dyDescent="0.25">
      <c r="A11" s="1080" t="s">
        <v>1785</v>
      </c>
      <c r="B11" s="1840">
        <f>'Acct Summary 7-8'!C81</f>
        <v>226407</v>
      </c>
      <c r="C11" s="1840">
        <f>'Acct Summary 7-8'!D81</f>
        <v>94663</v>
      </c>
      <c r="D11" s="1840">
        <f>'Acct Summary 7-8'!F81</f>
        <v>37220</v>
      </c>
      <c r="E11" s="1840">
        <f>'Acct Summary 7-8'!I81</f>
        <v>0</v>
      </c>
      <c r="F11" s="1841">
        <f>SUM(B11:E11)</f>
        <v>358290</v>
      </c>
    </row>
    <row r="12" spans="1:8" ht="16.5" customHeight="1" thickTop="1" x14ac:dyDescent="0.2">
      <c r="A12" s="1081"/>
      <c r="B12" s="1082"/>
      <c r="C12" s="2355" t="str">
        <f>IF(AND(F10&lt;0,F11&gt;=0,ABS(F10*3)&gt;ABS(F11)),A16,IF(AND(F10&lt;0,F11&gt;0,ABS(F10*3)&lt;=ABS(F11)),A17,IF(AND(F10&lt;0,F11&lt;0),A16,IF(F11=0,A19,A18))))</f>
        <v>Balanced - no deficit reduction plan is required.</v>
      </c>
      <c r="D12" s="2356"/>
      <c r="E12" s="2356"/>
      <c r="F12" s="2357"/>
    </row>
    <row r="13" spans="1:8" ht="19.5" customHeight="1" x14ac:dyDescent="0.2">
      <c r="A13" s="1083"/>
      <c r="B13" s="1084"/>
      <c r="C13" s="2355"/>
      <c r="D13" s="2356"/>
      <c r="E13" s="2356"/>
      <c r="F13" s="2357"/>
      <c r="H13" s="1073"/>
    </row>
    <row r="14" spans="1:8" ht="19.5" customHeight="1" x14ac:dyDescent="0.2">
      <c r="A14" s="1083"/>
      <c r="B14" s="1084"/>
      <c r="C14" s="2355"/>
      <c r="D14" s="2356"/>
      <c r="E14" s="2356"/>
      <c r="F14" s="2357"/>
      <c r="H14" s="1073"/>
    </row>
    <row r="15" spans="1:8" ht="17.25" customHeight="1" x14ac:dyDescent="0.2">
      <c r="A15" s="1083"/>
      <c r="B15" s="1084"/>
      <c r="C15" s="2358"/>
      <c r="D15" s="2359"/>
      <c r="E15" s="2359"/>
      <c r="F15" s="2360"/>
      <c r="H15" s="1073"/>
    </row>
    <row r="16" spans="1:8" s="310" customFormat="1" ht="51.75" hidden="1" customHeight="1" x14ac:dyDescent="0.2">
      <c r="A16" s="2354" t="s">
        <v>1787</v>
      </c>
      <c r="B16" s="2354"/>
      <c r="C16" s="2354"/>
      <c r="D16" s="2354"/>
      <c r="E16" s="2354"/>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6" t="s">
        <v>686</v>
      </c>
      <c r="B3" s="2377"/>
      <c r="C3" s="2377"/>
      <c r="D3" s="2378"/>
    </row>
    <row r="4" spans="1:4" x14ac:dyDescent="0.2">
      <c r="A4" s="1151" t="s">
        <v>1793</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7" t="s">
        <v>1584</v>
      </c>
      <c r="D7" s="2388"/>
    </row>
    <row r="8" spans="1:4" s="667" customFormat="1" ht="12.75" x14ac:dyDescent="0.2">
      <c r="A8" s="1137"/>
      <c r="B8" s="1092"/>
      <c r="C8" s="1095" t="s">
        <v>1583</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79" t="s">
        <v>1065</v>
      </c>
      <c r="B15" s="2380"/>
      <c r="C15" s="2380"/>
      <c r="D15" s="2381"/>
    </row>
    <row r="16" spans="1:4" s="667" customFormat="1" ht="24" customHeight="1" x14ac:dyDescent="0.2">
      <c r="A16" s="2382" t="s">
        <v>684</v>
      </c>
      <c r="B16" s="2383"/>
      <c r="C16" s="2383"/>
      <c r="D16" s="2384"/>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1" t="s">
        <v>332</v>
      </c>
      <c r="D21" s="2392"/>
    </row>
    <row r="22" spans="1:10" ht="12.75" x14ac:dyDescent="0.2">
      <c r="A22" s="1138"/>
      <c r="B22" s="1139">
        <v>2</v>
      </c>
      <c r="C22" s="2389" t="s">
        <v>1605</v>
      </c>
      <c r="D22" s="2390"/>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3" t="s">
        <v>557</v>
      </c>
      <c r="D43" s="2394"/>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5" t="s">
        <v>817</v>
      </c>
      <c r="D56" s="2386"/>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85" t="s">
        <v>1797</v>
      </c>
      <c r="D70" s="2386"/>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35050120040</v>
      </c>
    </row>
    <row r="3" spans="1:2" x14ac:dyDescent="0.2">
      <c r="A3" t="s">
        <v>1013</v>
      </c>
      <c r="B3" s="138" t="str">
        <f>COVER!A15</f>
        <v>LaSalle</v>
      </c>
    </row>
    <row r="4" spans="1:2" x14ac:dyDescent="0.2">
      <c r="A4" t="s">
        <v>1064</v>
      </c>
      <c r="B4" s="138" t="str">
        <f>COVER!A17</f>
        <v>LaSalle-Peru Area Career Center</v>
      </c>
    </row>
    <row r="5" spans="1:2" x14ac:dyDescent="0.2">
      <c r="A5" t="s">
        <v>728</v>
      </c>
      <c r="B5" s="138" t="str">
        <f>COVER!A38</f>
        <v>Steve Wrobleski</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f>COVER!B5</f>
        <v>0</v>
      </c>
    </row>
    <row r="11" spans="1:2" x14ac:dyDescent="0.2">
      <c r="A11" t="s">
        <v>1034</v>
      </c>
      <c r="B11" s="138" t="str">
        <f>COVER!B6</f>
        <v>X</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Tim C. Custis, CPA</v>
      </c>
    </row>
    <row r="18" spans="1:2" x14ac:dyDescent="0.2">
      <c r="A18" t="s">
        <v>1212</v>
      </c>
      <c r="B18" s="138" t="str">
        <f>COVER!T17</f>
        <v>4200 N Knoxville Ave</v>
      </c>
    </row>
    <row r="19" spans="1:2" x14ac:dyDescent="0.2">
      <c r="A19" t="s">
        <v>941</v>
      </c>
      <c r="B19" s="138" t="str">
        <f>COVER!T25</f>
        <v>tcustis@gorenzcpa.com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226407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226407</v>
      </c>
      <c r="D92" s="2" t="str">
        <f t="shared" si="0"/>
        <v>Error?</v>
      </c>
    </row>
    <row r="93" spans="1:4" x14ac:dyDescent="0.2">
      <c r="A93" s="5">
        <v>32</v>
      </c>
      <c r="B93" s="138">
        <f>'Assets-Liab 5-6'!C41</f>
        <v>226407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94663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94663</v>
      </c>
      <c r="D123" s="2" t="str">
        <f t="shared" si="0"/>
        <v>Error?</v>
      </c>
    </row>
    <row r="124" spans="1:4" x14ac:dyDescent="0.2">
      <c r="A124" s="5">
        <v>63</v>
      </c>
      <c r="B124" s="138">
        <f>'Assets-Liab 5-6'!D41</f>
        <v>94663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37220</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37220</v>
      </c>
      <c r="D170" s="2" t="str">
        <f t="shared" si="1"/>
        <v>Error?</v>
      </c>
    </row>
    <row r="171" spans="1:4" x14ac:dyDescent="0.2">
      <c r="A171" s="5">
        <v>110</v>
      </c>
      <c r="B171" s="138">
        <f>'Assets-Liab 5-6'!F41</f>
        <v>37220</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54850</v>
      </c>
      <c r="D273" s="2" t="str">
        <f t="shared" si="3"/>
        <v>Error?</v>
      </c>
    </row>
    <row r="274" spans="1:4" x14ac:dyDescent="0.2">
      <c r="A274" s="5">
        <v>213</v>
      </c>
      <c r="B274" s="138">
        <f>'Assets-Liab 5-6'!M17</f>
        <v>562637</v>
      </c>
      <c r="D274" s="2" t="str">
        <f t="shared" si="3"/>
        <v>Error?</v>
      </c>
    </row>
    <row r="275" spans="1:4" x14ac:dyDescent="0.2">
      <c r="A275" s="5">
        <v>214</v>
      </c>
      <c r="B275" s="138">
        <f>'Assets-Liab 5-6'!M18</f>
        <v>16909</v>
      </c>
      <c r="D275" s="2" t="str">
        <f t="shared" si="3"/>
        <v>Error?</v>
      </c>
    </row>
    <row r="276" spans="1:4" x14ac:dyDescent="0.2">
      <c r="A276" s="5">
        <v>215</v>
      </c>
      <c r="B276" s="138">
        <f>'Assets-Liab 5-6'!M19</f>
        <v>86399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720795</v>
      </c>
      <c r="C279" s="2" t="s">
        <v>594</v>
      </c>
      <c r="D279" s="2" t="str">
        <f t="shared" si="3"/>
        <v>Error?</v>
      </c>
    </row>
    <row r="280" spans="1:4" x14ac:dyDescent="0.2">
      <c r="A280" s="5">
        <v>219</v>
      </c>
      <c r="B280" s="138">
        <f>'Assets-Liab 5-6'!M40</f>
        <v>720795</v>
      </c>
      <c r="D280" s="2" t="str">
        <f t="shared" si="3"/>
        <v>Error?</v>
      </c>
    </row>
    <row r="281" spans="1:4" x14ac:dyDescent="0.2">
      <c r="A281" s="5">
        <v>220</v>
      </c>
      <c r="B281" s="138">
        <f>'Assets-Liab 5-6'!M41</f>
        <v>720795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0</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0</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0</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2958</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2958</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3876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3876</v>
      </c>
      <c r="C847" s="2" t="s">
        <v>594</v>
      </c>
      <c r="D847" s="2" t="str">
        <f t="shared" si="12"/>
        <v>Error?</v>
      </c>
    </row>
    <row r="848" spans="1:4" x14ac:dyDescent="0.2">
      <c r="A848" s="5">
        <v>787</v>
      </c>
      <c r="B848" s="138">
        <f>'Expenditures 15-22'!E49</f>
        <v>0</v>
      </c>
      <c r="D848" s="2" t="str">
        <f t="shared" si="12"/>
        <v>Error?</v>
      </c>
    </row>
    <row r="849" spans="1:4" x14ac:dyDescent="0.2">
      <c r="A849" s="5">
        <v>788</v>
      </c>
      <c r="B849" s="138">
        <f>'Expenditures 15-22'!E50</f>
        <v>7750</v>
      </c>
      <c r="D849" s="2" t="str">
        <f t="shared" si="12"/>
        <v>Error?</v>
      </c>
    </row>
    <row r="850" spans="1:4" x14ac:dyDescent="0.2">
      <c r="A850" s="5">
        <v>789</v>
      </c>
      <c r="B850" s="138">
        <f>'Expenditures 15-22'!E53</f>
        <v>7750</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11626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717101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50339</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50339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1401</v>
      </c>
      <c r="D907" s="2" t="str">
        <f t="shared" si="13"/>
        <v>Error?</v>
      </c>
    </row>
    <row r="908" spans="1:4" x14ac:dyDescent="0.2">
      <c r="A908" s="5">
        <v>847</v>
      </c>
      <c r="B908" s="138">
        <f>'Expenditures 15-22'!F53</f>
        <v>1401</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150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150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1551</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51890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1702</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1702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1266</v>
      </c>
      <c r="D965" s="2" t="str">
        <f t="shared" si="14"/>
        <v>Error?</v>
      </c>
    </row>
    <row r="966" spans="1:4" x14ac:dyDescent="0.2">
      <c r="A966" s="5">
        <v>905</v>
      </c>
      <c r="B966" s="138">
        <f>'Expenditures 15-22'!G53</f>
        <v>1266</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1266</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2968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931</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42931</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612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612</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749</v>
      </c>
      <c r="D1023" s="2" t="str">
        <f t="shared" ref="D1023:D1086" si="15">IF(ISBLANK(B1023),"OK",IF(A1023-B1023=0,"OK","Error?"))</f>
        <v>Error?</v>
      </c>
    </row>
    <row r="1024" spans="1:4" x14ac:dyDescent="0.2">
      <c r="A1024" s="5">
        <v>963</v>
      </c>
      <c r="B1024" s="138">
        <f>'Expenditures 15-22'!H53</f>
        <v>749</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1361</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44292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55930</v>
      </c>
      <c r="C1105" s="2" t="s">
        <v>594</v>
      </c>
      <c r="D1105" s="2" t="str">
        <f t="shared" si="16"/>
        <v>Error?</v>
      </c>
    </row>
    <row r="1106" spans="1:4" x14ac:dyDescent="0.2">
      <c r="A1106" s="5">
        <v>1045</v>
      </c>
      <c r="B1106" s="138">
        <f>'Expenditures 15-22'!K14</f>
        <v>0</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97930</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4488</v>
      </c>
      <c r="C1116" s="2" t="s">
        <v>594</v>
      </c>
      <c r="D1116" s="2" t="str">
        <f t="shared" si="16"/>
        <v>Error?</v>
      </c>
    </row>
    <row r="1117" spans="1:4" x14ac:dyDescent="0.2">
      <c r="A1117" s="5">
        <v>1056</v>
      </c>
      <c r="B1117" s="138">
        <f>'Expenditures 15-22'!K45</f>
        <v>0</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4488</v>
      </c>
      <c r="C1119" s="2" t="s">
        <v>594</v>
      </c>
      <c r="D1119" s="2" t="str">
        <f t="shared" si="16"/>
        <v>Error?</v>
      </c>
    </row>
    <row r="1120" spans="1:4" x14ac:dyDescent="0.2">
      <c r="A1120" s="5">
        <v>1059</v>
      </c>
      <c r="B1120" s="138">
        <f>'Expenditures 15-22'!K49</f>
        <v>0</v>
      </c>
      <c r="C1120" s="2" t="s">
        <v>594</v>
      </c>
      <c r="D1120" s="2" t="str">
        <f t="shared" si="16"/>
        <v>Error?</v>
      </c>
    </row>
    <row r="1121" spans="1:4" x14ac:dyDescent="0.2">
      <c r="A1121" s="5">
        <v>1060</v>
      </c>
      <c r="B1121" s="138">
        <f>'Expenditures 15-22'!K50</f>
        <v>11166</v>
      </c>
      <c r="C1121" s="2" t="s">
        <v>594</v>
      </c>
      <c r="D1121" s="2" t="str">
        <f t="shared" si="16"/>
        <v>Error?</v>
      </c>
    </row>
    <row r="1122" spans="1:4" x14ac:dyDescent="0.2">
      <c r="A1122" s="5">
        <v>1061</v>
      </c>
      <c r="B1122" s="138">
        <f>'Expenditures 15-22'!K53</f>
        <v>11166</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0</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0</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150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150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15804</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702517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816251</v>
      </c>
      <c r="C1152" s="2" t="s">
        <v>594</v>
      </c>
      <c r="D1152" s="2" t="str">
        <f t="shared" si="17"/>
        <v>Error?</v>
      </c>
    </row>
    <row r="1153" spans="1:4" x14ac:dyDescent="0.2">
      <c r="A1153" s="5">
        <v>1092</v>
      </c>
      <c r="B1153" s="138">
        <f>'Expenditures 15-22'!K115</f>
        <v>62440</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21652</v>
      </c>
      <c r="D1237" s="2" t="str">
        <f t="shared" si="18"/>
        <v>Error?</v>
      </c>
    </row>
    <row r="1238" spans="1:4" x14ac:dyDescent="0.2">
      <c r="A1238" s="10">
        <v>1177</v>
      </c>
      <c r="D1238" s="2" t="str">
        <f t="shared" si="18"/>
        <v>OK</v>
      </c>
    </row>
    <row r="1239" spans="1:4" x14ac:dyDescent="0.2">
      <c r="A1239" s="5">
        <v>1178</v>
      </c>
      <c r="B1239" s="138">
        <f>'Expenditures 15-22'!E127</f>
        <v>21652</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21652</v>
      </c>
      <c r="C1241" s="2" t="s">
        <v>594</v>
      </c>
      <c r="D1241" s="2" t="str">
        <f t="shared" si="18"/>
        <v>Error?</v>
      </c>
    </row>
    <row r="1242" spans="1:4" x14ac:dyDescent="0.2">
      <c r="A1242" s="5">
        <v>1181</v>
      </c>
      <c r="B1242" s="138">
        <f>'Expenditures 15-22'!E151</f>
        <v>128814</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28773</v>
      </c>
      <c r="D1245" s="2" t="str">
        <f t="shared" si="18"/>
        <v>Error?</v>
      </c>
    </row>
    <row r="1246" spans="1:4" x14ac:dyDescent="0.2">
      <c r="A1246" s="10">
        <v>1185</v>
      </c>
      <c r="D1246" s="2" t="str">
        <f t="shared" si="18"/>
        <v>OK</v>
      </c>
    </row>
    <row r="1247" spans="1:4" x14ac:dyDescent="0.2">
      <c r="A1247" s="5">
        <v>1186</v>
      </c>
      <c r="B1247" s="138">
        <f>'Expenditures 15-22'!F127</f>
        <v>28773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28773</v>
      </c>
      <c r="C1249" s="2" t="s">
        <v>594</v>
      </c>
      <c r="D1249" s="2" t="str">
        <f t="shared" si="18"/>
        <v>Error?</v>
      </c>
    </row>
    <row r="1250" spans="1:4" x14ac:dyDescent="0.2">
      <c r="A1250" s="5">
        <v>1189</v>
      </c>
      <c r="B1250" s="138">
        <f>'Expenditures 15-22'!F151</f>
        <v>28773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594</v>
      </c>
      <c r="D1258" s="2" t="str">
        <f t="shared" si="18"/>
        <v>Error?</v>
      </c>
    </row>
    <row r="1259" spans="1:4" x14ac:dyDescent="0.2">
      <c r="A1259" s="5">
        <v>1198</v>
      </c>
      <c r="B1259" s="138">
        <f>'Expenditures 15-22'!G151</f>
        <v>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50425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50425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50425</v>
      </c>
      <c r="C1281" s="2" t="s">
        <v>594</v>
      </c>
      <c r="D1281" s="2" t="str">
        <f t="shared" si="19"/>
        <v>Error?</v>
      </c>
    </row>
    <row r="1282" spans="1:4" x14ac:dyDescent="0.2">
      <c r="A1282" s="5">
        <v>1221</v>
      </c>
      <c r="B1282" s="138">
        <f>'Expenditures 15-22'!K139</f>
        <v>107162</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157587</v>
      </c>
      <c r="C1288" s="2" t="s">
        <v>594</v>
      </c>
      <c r="D1288" s="2" t="str">
        <f t="shared" si="19"/>
        <v>Error?</v>
      </c>
    </row>
    <row r="1289" spans="1:4" x14ac:dyDescent="0.2">
      <c r="A1289" s="5">
        <v>1228</v>
      </c>
      <c r="B1289" s="138">
        <f>'Expenditures 15-22'!K152</f>
        <v>-26080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2174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2174</v>
      </c>
      <c r="C1351" s="2" t="s">
        <v>594</v>
      </c>
      <c r="D1351" s="2" t="str">
        <f t="shared" si="20"/>
        <v>Error?</v>
      </c>
    </row>
    <row r="1352" spans="1:4" x14ac:dyDescent="0.2">
      <c r="A1352" s="5">
        <v>1291</v>
      </c>
      <c r="B1352" s="138">
        <f>'Expenditures 15-22'!E196</f>
        <v>3686</v>
      </c>
      <c r="C1352" s="2" t="s">
        <v>594</v>
      </c>
      <c r="D1352" s="2" t="str">
        <f t="shared" si="20"/>
        <v>Error?</v>
      </c>
    </row>
    <row r="1353" spans="1:4" x14ac:dyDescent="0.2">
      <c r="A1353" s="5">
        <v>1292</v>
      </c>
      <c r="B1353" s="138">
        <f>'Expenditures 15-22'!E210</f>
        <v>5860</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2174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2174</v>
      </c>
      <c r="C1381" s="2" t="s">
        <v>594</v>
      </c>
      <c r="D1381" s="2" t="str">
        <f t="shared" si="20"/>
        <v>Error?</v>
      </c>
    </row>
    <row r="1382" spans="1:4" x14ac:dyDescent="0.2">
      <c r="A1382" s="5">
        <v>1321</v>
      </c>
      <c r="B1382" s="138">
        <f>'Expenditures 15-22'!K196</f>
        <v>3686</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5860</v>
      </c>
      <c r="C1388" s="2" t="s">
        <v>594</v>
      </c>
      <c r="D1388" s="2" t="str">
        <f t="shared" si="20"/>
        <v>Error?</v>
      </c>
    </row>
    <row r="1389" spans="1:4" x14ac:dyDescent="0.2">
      <c r="A1389" s="5">
        <v>1328</v>
      </c>
      <c r="B1389" s="138">
        <f>'Expenditures 15-22'!K211</f>
        <v>-1263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0</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0</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0</v>
      </c>
      <c r="C1487" s="2" t="s">
        <v>594</v>
      </c>
      <c r="D1487" s="2" t="str">
        <f t="shared" si="22"/>
        <v>Error?</v>
      </c>
    </row>
    <row r="1488" spans="1:4" x14ac:dyDescent="0.2">
      <c r="A1488" s="5">
        <v>1427</v>
      </c>
      <c r="B1488" s="138">
        <f>'Expenditures 15-22'!K257</f>
        <v>0</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0</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0</v>
      </c>
      <c r="C1517" s="2" t="s">
        <v>594</v>
      </c>
      <c r="D1517" s="2" t="str">
        <f t="shared" si="22"/>
        <v>Error?</v>
      </c>
    </row>
    <row r="1518" spans="1:4" x14ac:dyDescent="0.2">
      <c r="A1518" s="5">
        <v>1457</v>
      </c>
      <c r="B1518" s="138">
        <f>'Expenditures 15-22'!K296</f>
        <v>0</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163967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226407</v>
      </c>
      <c r="C1630" s="2" t="s">
        <v>594</v>
      </c>
      <c r="D1630" s="2" t="str">
        <f t="shared" si="24"/>
        <v>Error?</v>
      </c>
    </row>
    <row r="1631" spans="1:4" x14ac:dyDescent="0.2">
      <c r="A1631" s="5">
        <v>1570</v>
      </c>
      <c r="B1631" s="138">
        <f>'Acct Summary 7-8'!D79</f>
        <v>120743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94663</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38483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37220</v>
      </c>
      <c r="C1672" s="2" t="s">
        <v>594</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594</v>
      </c>
      <c r="D1744" s="2" t="str">
        <f t="shared" si="26"/>
        <v>Error?</v>
      </c>
    </row>
    <row r="1745" spans="1:5" x14ac:dyDescent="0.2">
      <c r="A1745" s="5">
        <v>1684</v>
      </c>
      <c r="B1745" s="138">
        <f>'Tax Sched 23'!B5</f>
        <v>0</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0</v>
      </c>
      <c r="C1747" s="2" t="s">
        <v>594</v>
      </c>
      <c r="D1747" s="2" t="str">
        <f t="shared" si="26"/>
        <v>Error?</v>
      </c>
    </row>
    <row r="1748" spans="1:5" x14ac:dyDescent="0.2">
      <c r="A1748" s="5">
        <v>1687</v>
      </c>
      <c r="B1748" s="138">
        <f>'Tax Sched 23'!B8</f>
        <v>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0</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0</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0</v>
      </c>
      <c r="C1759" s="2" t="s">
        <v>594</v>
      </c>
      <c r="D1759" s="2" t="str">
        <f t="shared" si="26"/>
        <v>Error?</v>
      </c>
    </row>
    <row r="1760" spans="1:5" x14ac:dyDescent="0.2">
      <c r="A1760" s="5">
        <v>1699</v>
      </c>
      <c r="B1760" s="138">
        <f>'Tax Sched 23'!D4</f>
        <v>0</v>
      </c>
      <c r="C1760" s="2" t="s">
        <v>594</v>
      </c>
      <c r="D1760" s="2" t="str">
        <f t="shared" si="26"/>
        <v>Error?</v>
      </c>
    </row>
    <row r="1761" spans="1:5" x14ac:dyDescent="0.2">
      <c r="A1761" s="5">
        <v>1700</v>
      </c>
      <c r="B1761" s="138">
        <f>'Tax Sched 23'!D5</f>
        <v>0</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0</v>
      </c>
      <c r="C1763" s="2" t="s">
        <v>594</v>
      </c>
      <c r="D1763" s="2" t="str">
        <f t="shared" si="26"/>
        <v>Error?</v>
      </c>
    </row>
    <row r="1764" spans="1:5" x14ac:dyDescent="0.2">
      <c r="A1764" s="5">
        <v>1703</v>
      </c>
      <c r="B1764" s="138">
        <f>'Tax Sched 23'!D8</f>
        <v>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0</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0</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0</v>
      </c>
      <c r="C1792" s="2" t="s">
        <v>594</v>
      </c>
      <c r="D1792" s="2" t="str">
        <f t="shared" si="27"/>
        <v>Error?</v>
      </c>
    </row>
    <row r="1793" spans="1:4" x14ac:dyDescent="0.2">
      <c r="A1793" s="5">
        <v>1732</v>
      </c>
      <c r="B1793" s="138">
        <f>'Tax Sched 23'!F5</f>
        <v>0</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0</v>
      </c>
      <c r="C1795" s="2" t="s">
        <v>594</v>
      </c>
      <c r="D1795" s="2" t="str">
        <f t="shared" si="27"/>
        <v>Error?</v>
      </c>
    </row>
    <row r="1796" spans="1:4" x14ac:dyDescent="0.2">
      <c r="A1796" s="5">
        <v>1735</v>
      </c>
      <c r="B1796" s="138">
        <f>'Tax Sched 23'!F8</f>
        <v>0</v>
      </c>
      <c r="C1796" s="2" t="s">
        <v>594</v>
      </c>
      <c r="D1796" s="2" t="str">
        <f t="shared" si="27"/>
        <v>Error?</v>
      </c>
    </row>
    <row r="1797" spans="1:4" x14ac:dyDescent="0.2">
      <c r="A1797" s="5">
        <v>1736</v>
      </c>
      <c r="B1797" s="138">
        <f>'Tax Sched 23'!F10</f>
        <v>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0</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0</v>
      </c>
      <c r="C1807" s="2" t="s">
        <v>594</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54850</v>
      </c>
      <c r="D2008" s="2" t="str">
        <f t="shared" si="30"/>
        <v>Error?</v>
      </c>
    </row>
    <row r="2009" spans="1:4" x14ac:dyDescent="0.2">
      <c r="A2009" s="5">
        <v>1948</v>
      </c>
      <c r="B2009" s="138">
        <f>'Cap Outlay Deprec 26'!C8</f>
        <v>562637</v>
      </c>
      <c r="D2009" s="2" t="str">
        <f t="shared" si="30"/>
        <v>Error?</v>
      </c>
    </row>
    <row r="2010" spans="1:4" x14ac:dyDescent="0.2">
      <c r="A2010" s="5">
        <v>1949</v>
      </c>
      <c r="B2010" s="138">
        <f>'Cap Outlay Deprec 26'!C10</f>
        <v>16909</v>
      </c>
      <c r="D2010" s="2" t="str">
        <f t="shared" si="30"/>
        <v>Error?</v>
      </c>
    </row>
    <row r="2011" spans="1:4" x14ac:dyDescent="0.2">
      <c r="A2011" s="5">
        <v>1950</v>
      </c>
      <c r="B2011" s="138">
        <f>'Cap Outlay Deprec 26'!C12</f>
        <v>112674</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747070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2968</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2968</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29243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29243</v>
      </c>
      <c r="C2025" s="2" t="s">
        <v>594</v>
      </c>
      <c r="D2025" s="2" t="str">
        <f t="shared" si="30"/>
        <v>Error?</v>
      </c>
    </row>
    <row r="2026" spans="1:4" x14ac:dyDescent="0.2">
      <c r="A2026" s="5">
        <v>1965</v>
      </c>
      <c r="B2026" s="138">
        <f>'Cap Outlay Deprec 26'!F5</f>
        <v>54850</v>
      </c>
      <c r="C2026" s="2" t="s">
        <v>594</v>
      </c>
      <c r="D2026" s="2" t="str">
        <f t="shared" si="30"/>
        <v>Error?</v>
      </c>
    </row>
    <row r="2027" spans="1:4" x14ac:dyDescent="0.2">
      <c r="A2027" s="5">
        <v>1966</v>
      </c>
      <c r="B2027" s="138">
        <f>'Cap Outlay Deprec 26'!F8</f>
        <v>562637</v>
      </c>
      <c r="C2027" s="2" t="s">
        <v>594</v>
      </c>
      <c r="D2027" s="2" t="str">
        <f t="shared" si="30"/>
        <v>Error?</v>
      </c>
    </row>
    <row r="2028" spans="1:4" x14ac:dyDescent="0.2">
      <c r="A2028" s="5">
        <v>1967</v>
      </c>
      <c r="B2028" s="138">
        <f>'Cap Outlay Deprec 26'!F10</f>
        <v>16909</v>
      </c>
      <c r="C2028" s="2" t="s">
        <v>594</v>
      </c>
      <c r="D2028" s="2" t="str">
        <f t="shared" si="30"/>
        <v>Error?</v>
      </c>
    </row>
    <row r="2029" spans="1:4" x14ac:dyDescent="0.2">
      <c r="A2029" s="5">
        <v>1968</v>
      </c>
      <c r="B2029" s="138">
        <f>'Cap Outlay Deprec 26'!F12</f>
        <v>86399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720795</v>
      </c>
      <c r="C2031" s="2" t="s">
        <v>594</v>
      </c>
      <c r="D2031" s="2" t="str">
        <f t="shared" si="30"/>
        <v>Error?</v>
      </c>
    </row>
    <row r="2032" spans="1:4" x14ac:dyDescent="0.2">
      <c r="A2032" s="10">
        <v>1971</v>
      </c>
      <c r="D2032" s="2" t="str">
        <f t="shared" si="30"/>
        <v>OK</v>
      </c>
    </row>
    <row r="2033" spans="1:4" x14ac:dyDescent="0.2">
      <c r="A2033" s="5">
        <v>1972</v>
      </c>
      <c r="B2033" s="138">
        <f>'Cap Outlay Deprec 26'!H8</f>
        <v>286848</v>
      </c>
      <c r="D2033" s="2" t="str">
        <f t="shared" si="30"/>
        <v>Error?</v>
      </c>
    </row>
    <row r="2034" spans="1:4" x14ac:dyDescent="0.2">
      <c r="A2034" s="5">
        <v>1973</v>
      </c>
      <c r="B2034" s="138">
        <f>'Cap Outlay Deprec 26'!H10</f>
        <v>8660</v>
      </c>
      <c r="D2034" s="2" t="str">
        <f t="shared" si="30"/>
        <v>Error?</v>
      </c>
    </row>
    <row r="2035" spans="1:4" x14ac:dyDescent="0.2">
      <c r="A2035" s="5">
        <v>1974</v>
      </c>
      <c r="B2035" s="138">
        <f>'Cap Outlay Deprec 26'!H12</f>
        <v>90224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385732</v>
      </c>
      <c r="C2037" s="2" t="s">
        <v>594</v>
      </c>
      <c r="D2037" s="2" t="str">
        <f t="shared" si="30"/>
        <v>Error?</v>
      </c>
    </row>
    <row r="2038" spans="1:4" x14ac:dyDescent="0.2">
      <c r="A2038" s="10">
        <v>1977</v>
      </c>
      <c r="D2038" s="2" t="str">
        <f t="shared" si="30"/>
        <v>OK</v>
      </c>
    </row>
    <row r="2039" spans="1:4" x14ac:dyDescent="0.2">
      <c r="A2039" s="5">
        <v>1978</v>
      </c>
      <c r="B2039" s="138">
        <f>'Cap Outlay Deprec 26'!I8</f>
        <v>8854</v>
      </c>
      <c r="D2039" s="2" t="str">
        <f t="shared" si="30"/>
        <v>Error?</v>
      </c>
    </row>
    <row r="2040" spans="1:4" x14ac:dyDescent="0.2">
      <c r="A2040" s="5">
        <v>1979</v>
      </c>
      <c r="B2040" s="138">
        <f>'Cap Outlay Deprec 26'!I10</f>
        <v>846</v>
      </c>
      <c r="D2040" s="2" t="str">
        <f t="shared" si="30"/>
        <v>Error?</v>
      </c>
    </row>
    <row r="2041" spans="1:4" x14ac:dyDescent="0.2">
      <c r="A2041" s="5">
        <v>1980</v>
      </c>
      <c r="B2041" s="138">
        <f>'Cap Outlay Deprec 26'!I12</f>
        <v>8643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18343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29243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29243</v>
      </c>
      <c r="C2049" s="2" t="s">
        <v>594</v>
      </c>
      <c r="D2049" s="2" t="str">
        <f t="shared" si="31"/>
        <v>Error?</v>
      </c>
    </row>
    <row r="2050" spans="1:4" x14ac:dyDescent="0.2">
      <c r="A2050" s="10">
        <v>1989</v>
      </c>
      <c r="D2050" s="2" t="str">
        <f t="shared" si="31"/>
        <v>OK</v>
      </c>
    </row>
    <row r="2051" spans="1:4" x14ac:dyDescent="0.2">
      <c r="A2051" s="5">
        <v>1990</v>
      </c>
      <c r="B2051" s="138">
        <f>'Cap Outlay Deprec 26'!K8</f>
        <v>295702</v>
      </c>
      <c r="C2051" s="2" t="s">
        <v>594</v>
      </c>
      <c r="D2051" s="2" t="str">
        <f t="shared" si="31"/>
        <v>Error?</v>
      </c>
    </row>
    <row r="2052" spans="1:4" x14ac:dyDescent="0.2">
      <c r="A2052" s="5">
        <v>1991</v>
      </c>
      <c r="B2052" s="138">
        <f>'Cap Outlay Deprec 26'!K10</f>
        <v>9506</v>
      </c>
      <c r="C2052" s="2" t="s">
        <v>594</v>
      </c>
      <c r="D2052" s="2" t="str">
        <f t="shared" si="31"/>
        <v>Error?</v>
      </c>
    </row>
    <row r="2053" spans="1:4" x14ac:dyDescent="0.2">
      <c r="A2053" s="5">
        <v>1992</v>
      </c>
      <c r="B2053" s="138">
        <f>'Cap Outlay Deprec 26'!K12</f>
        <v>69624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374832</v>
      </c>
      <c r="C2055" s="2" t="s">
        <v>594</v>
      </c>
      <c r="D2055" s="2" t="str">
        <f t="shared" si="31"/>
        <v>Error?</v>
      </c>
    </row>
    <row r="2056" spans="1:4" x14ac:dyDescent="0.2">
      <c r="A2056" s="5">
        <v>1995</v>
      </c>
      <c r="B2056" s="138">
        <f>'Cap Outlay Deprec 26'!L5</f>
        <v>54850</v>
      </c>
      <c r="C2056" s="2" t="s">
        <v>594</v>
      </c>
      <c r="D2056" s="2" t="str">
        <f t="shared" si="31"/>
        <v>Error?</v>
      </c>
    </row>
    <row r="2057" spans="1:4" x14ac:dyDescent="0.2">
      <c r="A2057" s="5">
        <v>1996</v>
      </c>
      <c r="B2057" s="138">
        <f>'Cap Outlay Deprec 26'!L8</f>
        <v>266935</v>
      </c>
      <c r="C2057" s="2" t="s">
        <v>594</v>
      </c>
      <c r="D2057" s="2" t="str">
        <f t="shared" si="31"/>
        <v>Error?</v>
      </c>
    </row>
    <row r="2058" spans="1:4" x14ac:dyDescent="0.2">
      <c r="A2058" s="5">
        <v>1997</v>
      </c>
      <c r="B2058" s="138">
        <f>'Cap Outlay Deprec 26'!L10</f>
        <v>7403</v>
      </c>
      <c r="C2058" s="2" t="s">
        <v>594</v>
      </c>
      <c r="D2058" s="2" t="str">
        <f t="shared" si="31"/>
        <v>Error?</v>
      </c>
    </row>
    <row r="2059" spans="1:4" x14ac:dyDescent="0.2">
      <c r="A2059" s="5">
        <v>1998</v>
      </c>
      <c r="B2059" s="138">
        <f>'Cap Outlay Deprec 26'!L12</f>
        <v>16775</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345963</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702517</v>
      </c>
      <c r="C2088" s="2" t="s">
        <v>594</v>
      </c>
      <c r="D2088" s="2" t="str">
        <f t="shared" si="31"/>
        <v>Error?</v>
      </c>
    </row>
    <row r="2089" spans="1:4" x14ac:dyDescent="0.2">
      <c r="A2089" s="5">
        <v>2028</v>
      </c>
      <c r="B2089" s="138">
        <f>'Expenditures 15-22'!K92</f>
        <v>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107162</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574121</v>
      </c>
      <c r="C2551" s="2" t="s">
        <v>594</v>
      </c>
      <c r="D2551" s="2" t="str">
        <f t="shared" si="38"/>
        <v>Error?</v>
      </c>
    </row>
    <row r="2552" spans="1:4" x14ac:dyDescent="0.2">
      <c r="A2552" s="10">
        <v>2491</v>
      </c>
      <c r="D2552" s="2" t="str">
        <f t="shared" si="38"/>
        <v>OK</v>
      </c>
    </row>
    <row r="2553" spans="1:4" x14ac:dyDescent="0.2">
      <c r="A2553" s="5">
        <v>2492</v>
      </c>
      <c r="B2553" s="138">
        <f>'Acct Summary 7-8'!C6</f>
        <v>295807</v>
      </c>
      <c r="C2553" s="2" t="s">
        <v>594</v>
      </c>
      <c r="D2553" s="2" t="str">
        <f t="shared" si="38"/>
        <v>Error?</v>
      </c>
    </row>
    <row r="2554" spans="1:4" x14ac:dyDescent="0.2">
      <c r="A2554" s="5">
        <v>2493</v>
      </c>
      <c r="B2554" s="138">
        <f>'Acct Summary 7-8'!C7</f>
        <v>8763</v>
      </c>
      <c r="C2554" s="2" t="s">
        <v>594</v>
      </c>
      <c r="D2554" s="2" t="str">
        <f t="shared" si="38"/>
        <v>Error?</v>
      </c>
    </row>
    <row r="2555" spans="1:4" x14ac:dyDescent="0.2">
      <c r="A2555" s="5">
        <v>2494</v>
      </c>
      <c r="B2555" s="138">
        <f>'Acct Summary 7-8'!C8</f>
        <v>878691</v>
      </c>
      <c r="C2555" s="2" t="s">
        <v>594</v>
      </c>
      <c r="D2555" s="2" t="str">
        <f t="shared" si="38"/>
        <v>Error?</v>
      </c>
    </row>
    <row r="2556" spans="1:4" x14ac:dyDescent="0.2">
      <c r="A2556" s="5">
        <v>2495</v>
      </c>
      <c r="B2556" s="138">
        <f>'Acct Summary 7-8'!C12</f>
        <v>97930</v>
      </c>
      <c r="C2556" s="2" t="s">
        <v>594</v>
      </c>
      <c r="D2556" s="2" t="str">
        <f t="shared" si="38"/>
        <v>Error?</v>
      </c>
    </row>
    <row r="2557" spans="1:4" x14ac:dyDescent="0.2">
      <c r="A2557" s="5">
        <v>2496</v>
      </c>
      <c r="B2557" s="138">
        <f>'Acct Summary 7-8'!C13</f>
        <v>15804</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702517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816251</v>
      </c>
      <c r="C2561" s="2" t="s">
        <v>594</v>
      </c>
      <c r="D2561" s="2" t="str">
        <f t="shared" si="39"/>
        <v>Error?</v>
      </c>
    </row>
    <row r="2562" spans="1:4" x14ac:dyDescent="0.2">
      <c r="A2562" s="5">
        <v>2501</v>
      </c>
      <c r="B2562" s="138">
        <f>'Acct Summary 7-8'!C20</f>
        <v>62440</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131507</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131507</v>
      </c>
      <c r="C2568" s="2" t="s">
        <v>594</v>
      </c>
      <c r="D2568" s="2" t="str">
        <f t="shared" si="39"/>
        <v>Error?</v>
      </c>
    </row>
    <row r="2569" spans="1:4" x14ac:dyDescent="0.2">
      <c r="A2569" s="5">
        <v>2508</v>
      </c>
      <c r="B2569" s="138">
        <f>'Acct Summary 7-8'!D13</f>
        <v>50425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107162</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157587</v>
      </c>
      <c r="C2573" s="2" t="s">
        <v>594</v>
      </c>
      <c r="D2573" s="2" t="str">
        <f t="shared" si="39"/>
        <v>Error?</v>
      </c>
    </row>
    <row r="2574" spans="1:4" x14ac:dyDescent="0.2">
      <c r="A2574" s="5">
        <v>2513</v>
      </c>
      <c r="B2574" s="138">
        <f>'Acct Summary 7-8'!D20</f>
        <v>-26080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594</v>
      </c>
      <c r="D2591" s="2" t="str">
        <f t="shared" si="39"/>
        <v>Error?</v>
      </c>
    </row>
    <row r="2592" spans="1:4" x14ac:dyDescent="0.2">
      <c r="A2592" s="10">
        <v>2531</v>
      </c>
      <c r="D2592" s="2" t="str">
        <f t="shared" si="39"/>
        <v>OK</v>
      </c>
    </row>
    <row r="2593" spans="1:4" x14ac:dyDescent="0.2">
      <c r="A2593" s="5">
        <v>2532</v>
      </c>
      <c r="B2593" s="138">
        <f>'Acct Summary 7-8'!F6</f>
        <v>4597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4597</v>
      </c>
      <c r="C2595" s="2" t="s">
        <v>594</v>
      </c>
      <c r="D2595" s="2" t="str">
        <f t="shared" si="39"/>
        <v>Error?</v>
      </c>
    </row>
    <row r="2596" spans="1:4" x14ac:dyDescent="0.2">
      <c r="A2596" s="5">
        <v>2535</v>
      </c>
      <c r="B2596" s="138">
        <f>'Acct Summary 7-8'!F13</f>
        <v>2174</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3686</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5860</v>
      </c>
      <c r="C2600" s="2" t="s">
        <v>594</v>
      </c>
      <c r="D2600" s="2" t="str">
        <f t="shared" si="39"/>
        <v>Error?</v>
      </c>
    </row>
    <row r="2601" spans="1:4" x14ac:dyDescent="0.2">
      <c r="A2601" s="5">
        <v>2540</v>
      </c>
      <c r="B2601" s="138">
        <f>'Acct Summary 7-8'!F20</f>
        <v>-1263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0</v>
      </c>
      <c r="C2606" s="2" t="s">
        <v>594</v>
      </c>
      <c r="D2606" s="2" t="str">
        <f t="shared" si="39"/>
        <v>Error?</v>
      </c>
    </row>
    <row r="2607" spans="1:4" x14ac:dyDescent="0.2">
      <c r="A2607" s="5">
        <v>2546</v>
      </c>
      <c r="B2607" s="138">
        <f>'Acct Summary 7-8'!G12</f>
        <v>0</v>
      </c>
      <c r="C2607" s="2" t="s">
        <v>594</v>
      </c>
      <c r="D2607" s="2" t="str">
        <f t="shared" si="39"/>
        <v>Error?</v>
      </c>
    </row>
    <row r="2608" spans="1:4" x14ac:dyDescent="0.2">
      <c r="A2608" s="5">
        <v>2547</v>
      </c>
      <c r="B2608" s="138">
        <f>'Acct Summary 7-8'!G13</f>
        <v>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0</v>
      </c>
      <c r="C2612" s="2" t="s">
        <v>594</v>
      </c>
      <c r="D2612" s="2" t="str">
        <f t="shared" si="39"/>
        <v>Error?</v>
      </c>
    </row>
    <row r="2613" spans="1:4" x14ac:dyDescent="0.2">
      <c r="A2613" s="5">
        <v>2552</v>
      </c>
      <c r="B2613" s="138">
        <f>'Acct Summary 7-8'!G20</f>
        <v>0</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0</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702517</v>
      </c>
      <c r="C2789" s="2" t="s">
        <v>594</v>
      </c>
      <c r="D2789" s="2" t="str">
        <f t="shared" si="42"/>
        <v>Error?</v>
      </c>
    </row>
    <row r="2790" spans="1:4" x14ac:dyDescent="0.2">
      <c r="A2790" s="5">
        <v>2729</v>
      </c>
      <c r="B2790" s="138">
        <f>'Expenditures 15-22'!E102</f>
        <v>702517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3686</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3686</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22007</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594</v>
      </c>
      <c r="D2913" s="2" t="str">
        <f t="shared" si="44"/>
        <v>Error?</v>
      </c>
    </row>
    <row r="2914" spans="1:4" x14ac:dyDescent="0.2">
      <c r="A2914" s="5">
        <v>2853</v>
      </c>
      <c r="B2914" s="138">
        <f>'Assets-Liab 5-6'!L33</f>
        <v>11588</v>
      </c>
      <c r="D2914" s="2" t="str">
        <f t="shared" si="44"/>
        <v>Error?</v>
      </c>
    </row>
    <row r="2915" spans="1:4" x14ac:dyDescent="0.2">
      <c r="A2915" s="10">
        <v>2854</v>
      </c>
      <c r="D2915" s="2" t="str">
        <f t="shared" si="44"/>
        <v>OK</v>
      </c>
    </row>
    <row r="2916" spans="1:4" x14ac:dyDescent="0.2">
      <c r="A2916" s="5">
        <v>2855</v>
      </c>
      <c r="B2916" s="138">
        <f>'Assets-Liab 5-6'!L34</f>
        <v>11588</v>
      </c>
      <c r="C2916" s="2" t="s">
        <v>594</v>
      </c>
      <c r="D2916" s="2" t="str">
        <f t="shared" si="44"/>
        <v>Error?</v>
      </c>
    </row>
    <row r="2917" spans="1:4" x14ac:dyDescent="0.2">
      <c r="A2917" s="5">
        <v>2856</v>
      </c>
      <c r="B2917" s="138">
        <f>'Assets-Liab 5-6'!L41</f>
        <v>22007</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702517</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702517</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107162</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3686</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3686</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10419</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594</v>
      </c>
      <c r="D3225" s="2" t="str">
        <f t="shared" si="49"/>
        <v>Error?</v>
      </c>
    </row>
    <row r="3226" spans="1:4" x14ac:dyDescent="0.2">
      <c r="A3226" s="5">
        <v>3165</v>
      </c>
      <c r="B3226" s="138">
        <f>'Acct Summary 7-8'!I8</f>
        <v>0</v>
      </c>
      <c r="C3226" s="2" t="s">
        <v>594</v>
      </c>
      <c r="D3226" s="2" t="str">
        <f t="shared" si="49"/>
        <v>Error?</v>
      </c>
    </row>
    <row r="3227" spans="1:4" x14ac:dyDescent="0.2">
      <c r="A3227" s="5">
        <v>3166</v>
      </c>
      <c r="B3227" s="138">
        <f>'Acct Summary 7-8'!I20</f>
        <v>0</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62440</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-26080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-1263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0</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0</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226407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94663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37220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22007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0</v>
      </c>
      <c r="C3446" s="2" t="s">
        <v>594</v>
      </c>
      <c r="D3446" s="2" t="str">
        <f t="shared" si="52"/>
        <v>Error?</v>
      </c>
    </row>
    <row r="3447" spans="1:4" x14ac:dyDescent="0.2">
      <c r="A3447" s="5">
        <v>3386</v>
      </c>
      <c r="B3447" s="138">
        <f>'Tax Sched 23'!D16</f>
        <v>0</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594</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878691</v>
      </c>
      <c r="C4122" s="2" t="s">
        <v>594</v>
      </c>
      <c r="D4122" s="2" t="str">
        <f t="shared" si="63"/>
        <v>Error?</v>
      </c>
    </row>
    <row r="4123" spans="1:4" x14ac:dyDescent="0.2">
      <c r="A4123" s="5">
        <v>4062</v>
      </c>
      <c r="B4123" s="138">
        <f>'Acct Summary 7-8'!D10</f>
        <v>131507</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4597</v>
      </c>
      <c r="C4125" s="2" t="s">
        <v>594</v>
      </c>
      <c r="D4125" s="2" t="str">
        <f t="shared" si="63"/>
        <v>Error?</v>
      </c>
    </row>
    <row r="4126" spans="1:4" x14ac:dyDescent="0.2">
      <c r="A4126" s="5">
        <v>4065</v>
      </c>
      <c r="B4126" s="138">
        <f>'Acct Summary 7-8'!G10</f>
        <v>0</v>
      </c>
      <c r="C4126" s="2" t="s">
        <v>594</v>
      </c>
      <c r="D4126" s="2" t="str">
        <f t="shared" si="63"/>
        <v>Error?</v>
      </c>
    </row>
    <row r="4127" spans="1:4" x14ac:dyDescent="0.2">
      <c r="A4127" s="5">
        <v>4066</v>
      </c>
      <c r="B4127" s="138">
        <f>'Acct Summary 7-8'!H10</f>
        <v>0</v>
      </c>
      <c r="C4127" s="2" t="s">
        <v>594</v>
      </c>
      <c r="D4127" s="2" t="str">
        <f t="shared" si="63"/>
        <v>Error?</v>
      </c>
    </row>
    <row r="4128" spans="1:4" x14ac:dyDescent="0.2">
      <c r="A4128" s="5">
        <v>4067</v>
      </c>
      <c r="B4128" s="138">
        <f>'Acct Summary 7-8'!I10</f>
        <v>0</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0</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816251</v>
      </c>
      <c r="C4136" s="2" t="s">
        <v>594</v>
      </c>
      <c r="D4136" s="2" t="str">
        <f t="shared" si="63"/>
        <v>Error?</v>
      </c>
    </row>
    <row r="4137" spans="1:4" x14ac:dyDescent="0.2">
      <c r="A4137" s="5">
        <v>4076</v>
      </c>
      <c r="B4137" s="138">
        <f>'Acct Summary 7-8'!D19</f>
        <v>157587</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5860</v>
      </c>
      <c r="C4139" s="2" t="s">
        <v>594</v>
      </c>
      <c r="D4139" s="2" t="str">
        <f t="shared" si="63"/>
        <v>Error?</v>
      </c>
    </row>
    <row r="4140" spans="1:4" x14ac:dyDescent="0.2">
      <c r="A4140" s="5">
        <v>4079</v>
      </c>
      <c r="B4140" s="138">
        <f>'Acct Summary 7-8'!G19</f>
        <v>0</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107162</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107162</v>
      </c>
      <c r="C4202" s="2" t="s">
        <v>594</v>
      </c>
      <c r="D4202" s="2" t="str">
        <f t="shared" si="64"/>
        <v>Error?</v>
      </c>
    </row>
    <row r="4203" spans="1:4" x14ac:dyDescent="0.2">
      <c r="A4203" s="5">
        <v>4142</v>
      </c>
      <c r="B4203" s="138">
        <f>'Expenditures 15-22'!E139</f>
        <v>107162</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594</v>
      </c>
      <c r="D4265" s="2" t="str">
        <f t="shared" si="65"/>
        <v>Error?</v>
      </c>
      <c r="E4265" s="128"/>
    </row>
    <row r="4266" spans="1:5" x14ac:dyDescent="0.2">
      <c r="A4266" s="12">
        <v>4205</v>
      </c>
      <c r="B4266" s="138">
        <f>('FP Info 3'!F10)*100000</f>
        <v>0</v>
      </c>
      <c r="C4266" s="2" t="s">
        <v>594</v>
      </c>
      <c r="D4266" s="2" t="str">
        <f t="shared" si="65"/>
        <v>Error?</v>
      </c>
      <c r="E4266" s="128"/>
    </row>
    <row r="4267" spans="1:5" x14ac:dyDescent="0.2">
      <c r="A4267" s="12">
        <v>4206</v>
      </c>
      <c r="B4267" s="138">
        <f>('FP Info 3'!H10)*100000</f>
        <v>0</v>
      </c>
      <c r="C4267" s="2" t="s">
        <v>594</v>
      </c>
      <c r="D4267" s="2" t="str">
        <f t="shared" si="65"/>
        <v>Error?</v>
      </c>
      <c r="E4267" s="128"/>
    </row>
    <row r="4268" spans="1:5" x14ac:dyDescent="0.2">
      <c r="A4268" s="12">
        <v>4207</v>
      </c>
      <c r="B4268" s="138">
        <f>('FP Info 3'!J10)*100000</f>
        <v>0</v>
      </c>
      <c r="C4268" s="2" t="s">
        <v>594</v>
      </c>
      <c r="D4268" s="2" t="str">
        <f t="shared" si="65"/>
        <v>Error?</v>
      </c>
    </row>
    <row r="4269" spans="1:5" x14ac:dyDescent="0.2">
      <c r="A4269" s="12">
        <v>4208</v>
      </c>
      <c r="B4269" s="138">
        <f>'FP Info 3'!J16</f>
        <v>358290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8763</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550800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550800</v>
      </c>
      <c r="C5087" s="2" t="s">
        <v>594</v>
      </c>
      <c r="D5087" s="2" t="str">
        <f t="shared" si="78"/>
        <v>Error?</v>
      </c>
    </row>
    <row r="5088" spans="1:4" x14ac:dyDescent="0.2">
      <c r="A5088" s="5">
        <v>5027</v>
      </c>
      <c r="B5088" s="138">
        <f>'Revenues 9-14'!C65</f>
        <v>214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214</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594</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594</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200</v>
      </c>
      <c r="D5116" s="2" t="str">
        <f t="shared" si="78"/>
        <v>Error?</v>
      </c>
    </row>
    <row r="5117" spans="1:4" x14ac:dyDescent="0.2">
      <c r="A5117" s="5">
        <v>5056</v>
      </c>
      <c r="B5117" s="138">
        <f>'Revenues 9-14'!C105</f>
        <v>17967</v>
      </c>
      <c r="D5117" s="2" t="str">
        <f t="shared" si="78"/>
        <v>Error?</v>
      </c>
    </row>
    <row r="5118" spans="1:4" x14ac:dyDescent="0.2">
      <c r="A5118" s="5">
        <v>5057</v>
      </c>
      <c r="B5118" s="138">
        <f>'Revenues 9-14'!C106</f>
        <v>4810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23107</v>
      </c>
      <c r="C5120" s="2" t="s">
        <v>594</v>
      </c>
      <c r="D5120" s="2" t="str">
        <f t="shared" si="79"/>
        <v>Error?</v>
      </c>
    </row>
    <row r="5121" spans="1:4" x14ac:dyDescent="0.2">
      <c r="A5121" s="5">
        <v>5060</v>
      </c>
      <c r="B5121" s="138">
        <f>'Revenues 9-14'!C109</f>
        <v>574121</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0</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295807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295807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295807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295807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0</v>
      </c>
      <c r="C5246" s="2" t="s">
        <v>594</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8763</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8763</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8763</v>
      </c>
      <c r="C5326" s="2" t="s">
        <v>594</v>
      </c>
      <c r="D5326" s="2" t="str">
        <f t="shared" si="82"/>
        <v>Error?</v>
      </c>
    </row>
    <row r="5327" spans="1:4" x14ac:dyDescent="0.2">
      <c r="A5327" s="5">
        <v>5266</v>
      </c>
      <c r="B5327" s="138">
        <f>'Revenues 9-14'!C275</f>
        <v>878691</v>
      </c>
      <c r="C5327" s="2" t="s">
        <v>594</v>
      </c>
      <c r="D5327" s="2" t="str">
        <f t="shared" si="82"/>
        <v>Error?</v>
      </c>
    </row>
    <row r="5328" spans="1:4"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76</v>
      </c>
      <c r="D5340" s="2" t="str">
        <f t="shared" si="82"/>
        <v>Error?</v>
      </c>
    </row>
    <row r="5341" spans="1:4" x14ac:dyDescent="0.2">
      <c r="A5341" s="5">
        <v>5280</v>
      </c>
      <c r="B5341" s="138">
        <f>'Revenues 9-14'!D66</f>
        <v>0</v>
      </c>
      <c r="D5341" s="2" t="str">
        <f t="shared" si="82"/>
        <v>Error?</v>
      </c>
    </row>
    <row r="5342" spans="1:4" x14ac:dyDescent="0.2">
      <c r="A5342" s="5">
        <v>5281</v>
      </c>
      <c r="B5342" s="138">
        <f>'Revenues 9-14'!D67</f>
        <v>76</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34231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97200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131431</v>
      </c>
      <c r="C5355" s="2" t="s">
        <v>594</v>
      </c>
      <c r="D5355" s="2" t="str">
        <f t="shared" si="82"/>
        <v>Error?</v>
      </c>
    </row>
    <row r="5356" spans="1:4" x14ac:dyDescent="0.2">
      <c r="A5356" s="5">
        <v>5295</v>
      </c>
      <c r="B5356" s="138">
        <f>'Revenues 9-14'!D109</f>
        <v>131507</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131507</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4597</v>
      </c>
      <c r="D5615" s="2" t="str">
        <f t="shared" si="86"/>
        <v>Error?</v>
      </c>
    </row>
    <row r="5616" spans="1:4" x14ac:dyDescent="0.2">
      <c r="A5616" s="10">
        <v>5555</v>
      </c>
      <c r="D5616" s="2" t="str">
        <f t="shared" si="86"/>
        <v>OK</v>
      </c>
    </row>
    <row r="5617" spans="1:4" x14ac:dyDescent="0.2">
      <c r="A5617" s="5">
        <v>5556</v>
      </c>
      <c r="B5617" s="138">
        <f>'Revenues 9-14'!F152</f>
        <v>0</v>
      </c>
      <c r="D5617" s="2" t="str">
        <f t="shared" si="86"/>
        <v>Error?</v>
      </c>
    </row>
    <row r="5618" spans="1:4" x14ac:dyDescent="0.2">
      <c r="A5618" s="5">
        <v>5557</v>
      </c>
      <c r="B5618" s="138">
        <f>'Revenues 9-14'!F154</f>
        <v>4597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4597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4597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4597</v>
      </c>
      <c r="C5720" s="2" t="s">
        <v>594</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594</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0</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0</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0</v>
      </c>
      <c r="C6024" s="2" t="s">
        <v>594</v>
      </c>
      <c r="D6024" s="2" t="str">
        <f t="shared" si="93"/>
        <v>Error?</v>
      </c>
    </row>
    <row r="6025" spans="1:5" x14ac:dyDescent="0.2">
      <c r="A6025" s="5">
        <v>5964</v>
      </c>
      <c r="B6025" s="138">
        <f>'Revenues 9-14'!H109</f>
        <v>0</v>
      </c>
      <c r="C6025" s="2" t="s">
        <v>594</v>
      </c>
      <c r="D6025" s="2" t="str">
        <f t="shared" si="93"/>
        <v>Error?</v>
      </c>
    </row>
    <row r="6026" spans="1:5" x14ac:dyDescent="0.2">
      <c r="A6026" s="5">
        <v>5965</v>
      </c>
      <c r="B6026" s="138">
        <f>'Revenues 9-14'!I109</f>
        <v>0</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0</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0</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0</v>
      </c>
      <c r="D6215" s="2" t="str">
        <f t="shared" si="96"/>
        <v>Error?</v>
      </c>
      <c r="E6215" s="2" t="s">
        <v>199</v>
      </c>
    </row>
    <row r="6216" spans="1:5" x14ac:dyDescent="0.2">
      <c r="A6216">
        <v>6155</v>
      </c>
      <c r="B6216" s="138">
        <f>'Assets-Liab 5-6'!J41</f>
        <v>0</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0</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0</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0</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0</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0</v>
      </c>
      <c r="D6229" s="2" t="str">
        <f t="shared" si="96"/>
        <v>Error?</v>
      </c>
      <c r="E6229" s="2" t="s">
        <v>199</v>
      </c>
    </row>
    <row r="6230" spans="1:5" x14ac:dyDescent="0.2">
      <c r="A6230">
        <v>6169</v>
      </c>
      <c r="B6230" s="138">
        <f>'Acct Summary 7-8'!J20</f>
        <v>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0</v>
      </c>
      <c r="D6263" s="2" t="str">
        <f t="shared" si="96"/>
        <v>Error?</v>
      </c>
      <c r="E6263" s="2" t="s">
        <v>199</v>
      </c>
    </row>
    <row r="6264" spans="1:5" x14ac:dyDescent="0.2">
      <c r="A6264">
        <v>6203</v>
      </c>
      <c r="B6264" s="138">
        <f>'Acct Summary 7-8'!J79</f>
        <v>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0</v>
      </c>
      <c r="D6266" s="2" t="str">
        <f t="shared" si="96"/>
        <v>Error?</v>
      </c>
      <c r="E6266" s="2" t="s">
        <v>199</v>
      </c>
    </row>
    <row r="6267" spans="1:5" x14ac:dyDescent="0.2">
      <c r="A6267">
        <v>6206</v>
      </c>
      <c r="B6267" s="138">
        <f>'Acct Summary 7-8'!C82</f>
        <v>62440</v>
      </c>
      <c r="D6267" s="2" t="str">
        <f t="shared" si="96"/>
        <v>Error?</v>
      </c>
      <c r="E6267" s="2" t="s">
        <v>199</v>
      </c>
    </row>
    <row r="6268" spans="1:5" x14ac:dyDescent="0.2">
      <c r="A6268">
        <v>6207</v>
      </c>
      <c r="B6268" s="138">
        <f>'Acct Summary 7-8'!D82</f>
        <v>-26080</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-1263</v>
      </c>
      <c r="D6270" s="2" t="str">
        <f t="shared" si="96"/>
        <v>Error?</v>
      </c>
      <c r="E6270" s="2" t="s">
        <v>199</v>
      </c>
    </row>
    <row r="6271" spans="1:5" x14ac:dyDescent="0.2">
      <c r="A6271">
        <v>6210</v>
      </c>
      <c r="B6271" s="138">
        <f>'Acct Summary 7-8'!G82</f>
        <v>0</v>
      </c>
      <c r="D6271" s="2" t="str">
        <f t="shared" ref="D6271:D6334" si="97">IF(ISBLANK(B6271),"OK",IF(A6271-B6271=0,"OK","Error?"))</f>
        <v>Error?</v>
      </c>
      <c r="E6271" s="2" t="s">
        <v>199</v>
      </c>
    </row>
    <row r="6272" spans="1:5" x14ac:dyDescent="0.2">
      <c r="A6272">
        <v>6211</v>
      </c>
      <c r="B6272" s="138">
        <f>'Acct Summary 7-8'!H82</f>
        <v>0</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0</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0.27578652603497239</v>
      </c>
      <c r="D6276" s="2" t="str">
        <f t="shared" si="97"/>
        <v>Error?</v>
      </c>
      <c r="E6276" s="2" t="s">
        <v>199</v>
      </c>
    </row>
    <row r="6277" spans="1:5" x14ac:dyDescent="0.2">
      <c r="A6277">
        <v>6216</v>
      </c>
      <c r="B6277" s="138">
        <f>'Acct Summary 7-8'!D83</f>
        <v>-0.27550362866167349</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-3.3933369156367542E-2</v>
      </c>
      <c r="D6279" s="2" t="str">
        <f t="shared" si="97"/>
        <v>Error?</v>
      </c>
      <c r="E6279" s="2" t="s">
        <v>199</v>
      </c>
    </row>
    <row r="6280" spans="1:5" x14ac:dyDescent="0.2">
      <c r="A6280">
        <v>6219</v>
      </c>
      <c r="B6280" s="138" t="e">
        <f>'Acct Summary 7-8'!G83</f>
        <v>#DIV/0!</v>
      </c>
      <c r="D6280" s="2" t="e">
        <f t="shared" si="97"/>
        <v>#DIV/0!</v>
      </c>
      <c r="E6280" s="2" t="s">
        <v>199</v>
      </c>
    </row>
    <row r="6281" spans="1:5" x14ac:dyDescent="0.2">
      <c r="A6281">
        <v>6220</v>
      </c>
      <c r="B6281" s="138" t="e">
        <f>'Acct Summary 7-8'!H83</f>
        <v>#DIV/0!</v>
      </c>
      <c r="D6281" s="2" t="e">
        <f t="shared" si="97"/>
        <v>#DIV/0!</v>
      </c>
      <c r="E6281" s="2" t="s">
        <v>199</v>
      </c>
    </row>
    <row r="6282" spans="1:5" x14ac:dyDescent="0.2">
      <c r="A6282">
        <v>6221</v>
      </c>
      <c r="B6282" s="138" t="e">
        <f>'Acct Summary 7-8'!I83</f>
        <v>#DIV/0!</v>
      </c>
      <c r="D6282" s="2" t="e">
        <f t="shared" si="97"/>
        <v>#DIV/0!</v>
      </c>
      <c r="E6282" s="2" t="s">
        <v>199</v>
      </c>
    </row>
    <row r="6283" spans="1:5" x14ac:dyDescent="0.2">
      <c r="A6283">
        <v>6222</v>
      </c>
      <c r="B6283" s="138" t="e">
        <f>'Acct Summary 7-8'!J83</f>
        <v>#DIV/0!</v>
      </c>
      <c r="D6283" s="2" t="e">
        <f t="shared" si="97"/>
        <v>#DIV/0!</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0</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0</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42000</v>
      </c>
      <c r="D6890" s="2" t="str">
        <f t="shared" si="106"/>
        <v>Error?</v>
      </c>
    </row>
    <row r="6891" spans="1:4" x14ac:dyDescent="0.2">
      <c r="A6891">
        <v>6830</v>
      </c>
      <c r="B6891" s="138">
        <f>'Expenditures 15-22'!K27</f>
        <v>42000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0</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18343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0</v>
      </c>
      <c r="D7797" s="2" t="str">
        <f t="shared" si="127"/>
        <v>Error?</v>
      </c>
      <c r="E7797" s="4" t="s">
        <v>2019</v>
      </c>
    </row>
    <row r="7798" spans="1:5" x14ac:dyDescent="0.2">
      <c r="A7798">
        <v>7737</v>
      </c>
      <c r="B7798" s="138">
        <f>'Contracts Paid in CY 29'!F141</f>
        <v>0</v>
      </c>
      <c r="D7798" s="2" t="str">
        <f t="shared" si="127"/>
        <v>Error?</v>
      </c>
      <c r="E7798" s="4" t="s">
        <v>2019</v>
      </c>
    </row>
    <row r="7799" spans="1:5" x14ac:dyDescent="0.2">
      <c r="A7799">
        <v>7738</v>
      </c>
      <c r="B7799" s="138">
        <f>'Contracts Paid in CY 29'!G141</f>
        <v>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5" t="s">
        <v>1253</v>
      </c>
      <c r="B2" s="2395"/>
      <c r="C2" s="2395"/>
      <c r="D2" s="2395"/>
      <c r="E2" s="2395"/>
      <c r="F2" s="2395"/>
      <c r="G2" s="2395"/>
      <c r="H2" s="2395"/>
      <c r="I2" s="2395"/>
      <c r="J2" s="2395"/>
      <c r="K2" s="2395"/>
      <c r="L2" s="2395"/>
    </row>
    <row r="3" spans="1:29" ht="13.5" customHeight="1" x14ac:dyDescent="0.2">
      <c r="A3" s="2426" t="s">
        <v>1252</v>
      </c>
      <c r="B3" s="2426"/>
      <c r="C3" s="2426"/>
      <c r="D3" s="2426"/>
      <c r="E3" s="2426"/>
      <c r="F3" s="2426"/>
      <c r="G3" s="2426"/>
      <c r="H3" s="2426"/>
      <c r="I3" s="2426"/>
      <c r="J3" s="2426"/>
      <c r="K3" s="2426"/>
      <c r="L3" s="2426"/>
    </row>
    <row r="4" spans="1:29" ht="13.5" customHeight="1" x14ac:dyDescent="0.2">
      <c r="A4" s="2395" t="s">
        <v>1799</v>
      </c>
      <c r="B4" s="2416"/>
      <c r="C4" s="2416"/>
      <c r="D4" s="2416"/>
      <c r="E4" s="2416"/>
      <c r="F4" s="2416"/>
      <c r="G4" s="2416"/>
      <c r="H4" s="2416"/>
      <c r="I4" s="2416"/>
      <c r="J4" s="2416"/>
      <c r="K4" s="2416"/>
      <c r="L4" s="241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17" t="str">
        <f>COVER!A17</f>
        <v>LaSalle-Peru Area Career Center</v>
      </c>
      <c r="B7" s="2418"/>
      <c r="C7" s="2418"/>
      <c r="D7" s="2419"/>
      <c r="E7" s="2420">
        <f>COVER!A13</f>
        <v>35050120040</v>
      </c>
      <c r="F7" s="2421"/>
      <c r="G7" s="2427" t="str">
        <f>COVER!T23</f>
        <v>066-005027</v>
      </c>
      <c r="H7" s="2428"/>
      <c r="I7" s="2428"/>
      <c r="J7" s="2428"/>
      <c r="K7" s="2428"/>
      <c r="L7" s="2429"/>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0"/>
      <c r="B9" s="2431"/>
      <c r="C9" s="2431"/>
      <c r="D9" s="2431"/>
      <c r="E9" s="2431"/>
      <c r="F9" s="2432"/>
      <c r="G9" s="2401" t="str">
        <f>COVER!T13</f>
        <v>Gorenz and Associates, Ltd.</v>
      </c>
      <c r="H9" s="2433"/>
      <c r="I9" s="2433"/>
      <c r="J9" s="2433"/>
      <c r="K9" s="2433"/>
      <c r="L9" s="2434"/>
    </row>
    <row r="10" spans="1:29" ht="13.5" customHeight="1" x14ac:dyDescent="0.2">
      <c r="A10" s="2407" t="str">
        <f>COVER!A38</f>
        <v>Steve Wrobleski</v>
      </c>
      <c r="B10" s="2408"/>
      <c r="C10" s="2408"/>
      <c r="D10" s="2408"/>
      <c r="E10" s="2408"/>
      <c r="F10" s="2409"/>
      <c r="G10" s="2401" t="str">
        <f>COVER!T17</f>
        <v>4200 N Knoxville Ave</v>
      </c>
      <c r="H10" s="2402"/>
      <c r="I10" s="2402"/>
      <c r="J10" s="2402"/>
      <c r="K10" s="2402"/>
      <c r="L10" s="2403"/>
    </row>
    <row r="11" spans="1:29" ht="13.5" customHeight="1" x14ac:dyDescent="0.2">
      <c r="A11" s="1183" t="s">
        <v>1599</v>
      </c>
      <c r="B11" s="1184"/>
      <c r="C11" s="1185"/>
      <c r="D11" s="1190"/>
      <c r="E11" s="1185"/>
      <c r="F11" s="1189"/>
      <c r="G11" s="2401" t="str">
        <f>COVER!T19</f>
        <v>Peoria</v>
      </c>
      <c r="H11" s="2402"/>
      <c r="I11" s="2402"/>
      <c r="J11" s="2402"/>
      <c r="K11" s="2402"/>
      <c r="L11" s="2403"/>
    </row>
    <row r="12" spans="1:29" ht="13.5" customHeight="1" x14ac:dyDescent="0.2">
      <c r="A12" s="2410" t="s">
        <v>1598</v>
      </c>
      <c r="B12" s="2411"/>
      <c r="C12" s="2411"/>
      <c r="D12" s="2411"/>
      <c r="E12" s="2411"/>
      <c r="F12" s="2412"/>
      <c r="G12" s="2404"/>
      <c r="H12" s="2405"/>
      <c r="I12" s="2405"/>
      <c r="J12" s="2405"/>
      <c r="K12" s="2405"/>
      <c r="L12" s="2406"/>
    </row>
    <row r="13" spans="1:29" ht="13.5" customHeight="1" x14ac:dyDescent="0.2">
      <c r="A13" s="2401"/>
      <c r="B13" s="2402"/>
      <c r="C13" s="2402"/>
      <c r="D13" s="2402"/>
      <c r="E13" s="2402"/>
      <c r="F13" s="2403"/>
      <c r="G13" s="2396" t="s">
        <v>1600</v>
      </c>
      <c r="H13" s="2397"/>
      <c r="I13" s="2413" t="str">
        <f>COVER!T25</f>
        <v>tcustis@gorenzcpa.com</v>
      </c>
      <c r="J13" s="2414"/>
      <c r="K13" s="2414"/>
      <c r="L13" s="2415"/>
    </row>
    <row r="14" spans="1:29" ht="13.5" customHeight="1" x14ac:dyDescent="0.2">
      <c r="A14" s="2401" t="str">
        <f>COVER!A19</f>
        <v>900 Ninth Street</v>
      </c>
      <c r="B14" s="2402"/>
      <c r="C14" s="2402"/>
      <c r="D14" s="2402"/>
      <c r="E14" s="2402"/>
      <c r="F14" s="2403"/>
      <c r="G14" s="1194" t="s">
        <v>1247</v>
      </c>
      <c r="H14" s="1192"/>
      <c r="I14" s="1192"/>
      <c r="J14" s="1192"/>
      <c r="K14" s="1192"/>
      <c r="L14" s="1193"/>
    </row>
    <row r="15" spans="1:29" ht="13.5" customHeight="1" x14ac:dyDescent="0.2">
      <c r="A15" s="2401" t="str">
        <f>COVER!A21</f>
        <v>Peru</v>
      </c>
      <c r="B15" s="2402"/>
      <c r="C15" s="2402"/>
      <c r="D15" s="2402"/>
      <c r="E15" s="2402"/>
      <c r="F15" s="2403"/>
      <c r="G15" s="2398" t="str">
        <f>COVER!T15</f>
        <v>Tim C. Custis, CPA</v>
      </c>
      <c r="H15" s="2399"/>
      <c r="I15" s="2399"/>
      <c r="J15" s="2399"/>
      <c r="K15" s="2399"/>
      <c r="L15" s="2400"/>
    </row>
    <row r="16" spans="1:29" ht="12.2" customHeight="1" x14ac:dyDescent="0.2">
      <c r="A16" s="2423">
        <f>COVER!A25</f>
        <v>61354</v>
      </c>
      <c r="B16" s="2424"/>
      <c r="C16" s="2424"/>
      <c r="D16" s="2424"/>
      <c r="E16" s="2424"/>
      <c r="F16" s="2425"/>
      <c r="G16" s="2435"/>
      <c r="H16" s="2436"/>
      <c r="I16" s="2436"/>
      <c r="J16" s="2436"/>
      <c r="K16" s="2436"/>
      <c r="L16" s="2437"/>
    </row>
    <row r="17" spans="1:13" ht="12.2" customHeight="1" x14ac:dyDescent="0.2">
      <c r="A17" s="2438"/>
      <c r="B17" s="2424"/>
      <c r="C17" s="2424"/>
      <c r="D17" s="2424"/>
      <c r="E17" s="2424"/>
      <c r="F17" s="2425"/>
      <c r="G17" s="1194" t="s">
        <v>1246</v>
      </c>
      <c r="H17" s="1192"/>
      <c r="I17" s="1192"/>
      <c r="J17" s="1192"/>
      <c r="K17" s="1196" t="s">
        <v>1245</v>
      </c>
      <c r="L17" s="1189"/>
      <c r="M17" s="1182"/>
    </row>
    <row r="18" spans="1:13" ht="12.2" customHeight="1" x14ac:dyDescent="0.2">
      <c r="A18" s="2407"/>
      <c r="B18" s="2408"/>
      <c r="C18" s="2408"/>
      <c r="D18" s="2408"/>
      <c r="E18" s="2408"/>
      <c r="F18" s="2409"/>
      <c r="G18" s="2417" t="str">
        <f>COVER!T21</f>
        <v>309-685-7621</v>
      </c>
      <c r="H18" s="2418"/>
      <c r="I18" s="2418"/>
      <c r="J18" s="2418"/>
      <c r="K18" s="2417" t="str">
        <f>COVER!X21</f>
        <v>309-685-4758</v>
      </c>
      <c r="L18" s="2422"/>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39" t="str">
        <f>'Single Audit Cover'!A7</f>
        <v>LaSalle-Peru Area Career Center</v>
      </c>
      <c r="B1" s="2416"/>
      <c r="C1" s="2416"/>
      <c r="D1" s="2416"/>
    </row>
    <row r="2" spans="1:11" s="1213" customFormat="1" ht="12.75" x14ac:dyDescent="0.2">
      <c r="A2" s="2440">
        <f>'Single Audit Cover'!E7</f>
        <v>35050120040</v>
      </c>
      <c r="B2" s="2441"/>
      <c r="C2" s="2441"/>
      <c r="D2" s="2441"/>
    </row>
    <row r="3" spans="1:11" s="1213" customFormat="1" ht="12.75" x14ac:dyDescent="0.2">
      <c r="A3" s="2439" t="s">
        <v>1593</v>
      </c>
      <c r="B3" s="2416"/>
      <c r="C3" s="2416"/>
      <c r="D3" s="2416"/>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3" t="str">
        <f>'Single Audit Cover'!A7</f>
        <v>LaSalle-Peru Area Career Center</v>
      </c>
      <c r="B1" s="2443"/>
      <c r="C1" s="2443"/>
      <c r="D1" s="2443"/>
      <c r="E1" s="2443"/>
    </row>
    <row r="2" spans="1:5" x14ac:dyDescent="0.2">
      <c r="A2" s="2444">
        <f>'Single Audit Cover'!E7</f>
        <v>35050120040</v>
      </c>
      <c r="B2" s="2444"/>
      <c r="C2" s="2444"/>
      <c r="D2" s="2444"/>
      <c r="E2" s="2444"/>
    </row>
    <row r="3" spans="1:5" ht="4.5" customHeight="1" x14ac:dyDescent="0.2"/>
    <row r="4" spans="1:5" x14ac:dyDescent="0.2">
      <c r="A4" s="2443" t="s">
        <v>1307</v>
      </c>
      <c r="B4" s="2443"/>
      <c r="C4" s="2443"/>
      <c r="D4" s="2443"/>
      <c r="E4" s="2443"/>
    </row>
    <row r="5" spans="1:5" x14ac:dyDescent="0.2">
      <c r="A5" s="2446" t="str">
        <f>'Single Audit Cover'!A4</f>
        <v>Year Ending June 30, 2018</v>
      </c>
      <c r="B5" s="2446"/>
      <c r="C5" s="2446"/>
      <c r="D5" s="2446"/>
      <c r="E5" s="2446"/>
    </row>
    <row r="6" spans="1:5" x14ac:dyDescent="0.2">
      <c r="A6" s="2443" t="s">
        <v>1306</v>
      </c>
      <c r="B6" s="2443"/>
      <c r="C6" s="2443"/>
      <c r="D6" s="2443"/>
      <c r="E6" s="2443"/>
    </row>
    <row r="8" spans="1:5" x14ac:dyDescent="0.2">
      <c r="A8" s="1258" t="s">
        <v>1305</v>
      </c>
    </row>
    <row r="10" spans="1:5" x14ac:dyDescent="0.2">
      <c r="A10" s="1259" t="s">
        <v>1304</v>
      </c>
      <c r="B10" s="1260" t="s">
        <v>1303</v>
      </c>
      <c r="C10" s="1260"/>
      <c r="D10" s="1261">
        <f>SUM('Acct Summary 7-8'!C7:K7)</f>
        <v>8763</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0</v>
      </c>
    </row>
    <row r="15" spans="1:5" x14ac:dyDescent="0.2">
      <c r="A15" s="1259"/>
      <c r="B15" s="1260"/>
      <c r="C15" s="1260"/>
    </row>
    <row r="16" spans="1:5" x14ac:dyDescent="0.2">
      <c r="A16" s="1259" t="s">
        <v>1955</v>
      </c>
      <c r="B16" s="1260"/>
      <c r="C16" s="1260"/>
    </row>
    <row r="17" spans="1:4" x14ac:dyDescent="0.2">
      <c r="A17" s="1259" t="s">
        <v>1601</v>
      </c>
      <c r="B17" s="1260" t="s">
        <v>1298</v>
      </c>
      <c r="C17" s="1260"/>
      <c r="D17" s="1262">
        <f>-SUM('Revenues 9-14'!C271:D271,'Revenues 9-14'!F271:G271)</f>
        <v>0</v>
      </c>
    </row>
    <row r="19" spans="1:4" ht="13.5" thickBot="1" x14ac:dyDescent="0.25">
      <c r="A19" s="1263" t="s">
        <v>1297</v>
      </c>
      <c r="D19" s="1264">
        <f>SUM(D10:D17)</f>
        <v>8763</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5"/>
      <c r="B24" s="2445"/>
      <c r="D24" s="1266"/>
    </row>
    <row r="25" spans="1:4" x14ac:dyDescent="0.2">
      <c r="A25" s="2442"/>
      <c r="B25" s="2442"/>
      <c r="D25" s="1266"/>
    </row>
    <row r="26" spans="1:4" x14ac:dyDescent="0.2">
      <c r="A26" s="2442"/>
      <c r="B26" s="2442"/>
      <c r="D26" s="1266"/>
    </row>
    <row r="27" spans="1:4" x14ac:dyDescent="0.2">
      <c r="A27" s="2442"/>
      <c r="B27" s="2442"/>
      <c r="D27" s="1266"/>
    </row>
    <row r="28" spans="1:4" x14ac:dyDescent="0.2">
      <c r="A28" s="2442"/>
      <c r="B28" s="2442"/>
      <c r="D28" s="1266"/>
    </row>
    <row r="29" spans="1:4" x14ac:dyDescent="0.2">
      <c r="A29" s="2442"/>
      <c r="B29" s="2442"/>
      <c r="D29" s="1266"/>
    </row>
    <row r="30" spans="1:4" x14ac:dyDescent="0.2">
      <c r="A30" s="2442"/>
      <c r="B30" s="2442"/>
      <c r="D30" s="1266"/>
    </row>
    <row r="32" spans="1:4" x14ac:dyDescent="0.2">
      <c r="A32" s="1258" t="s">
        <v>1295</v>
      </c>
      <c r="D32" s="1261">
        <f>SUM(D19:D30)</f>
        <v>8763</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2"/>
      <c r="B40" s="2442"/>
      <c r="D40" s="1266"/>
    </row>
    <row r="41" spans="1:4" x14ac:dyDescent="0.2">
      <c r="A41" s="2442"/>
      <c r="B41" s="2442"/>
      <c r="D41" s="1269"/>
    </row>
    <row r="42" spans="1:4" x14ac:dyDescent="0.2">
      <c r="A42" s="2442"/>
      <c r="B42" s="2442"/>
      <c r="D42" s="1269"/>
    </row>
    <row r="43" spans="1:4" x14ac:dyDescent="0.2">
      <c r="A43" s="2442"/>
      <c r="B43" s="2442"/>
      <c r="D43" s="1269"/>
    </row>
    <row r="44" spans="1:4" x14ac:dyDescent="0.2">
      <c r="A44" s="2442"/>
      <c r="B44" s="2442"/>
      <c r="D44" s="1269"/>
    </row>
    <row r="45" spans="1:4" x14ac:dyDescent="0.2">
      <c r="A45" s="2442"/>
      <c r="B45" s="2442"/>
      <c r="D45" s="1269"/>
    </row>
    <row r="47" spans="1:4" x14ac:dyDescent="0.2">
      <c r="B47" s="1270" t="s">
        <v>1289</v>
      </c>
      <c r="C47" s="1270"/>
      <c r="D47" s="1271">
        <f>SUM(D35:D45)</f>
        <v>0</v>
      </c>
    </row>
    <row r="49" spans="2:4" x14ac:dyDescent="0.2">
      <c r="B49" s="1270" t="s">
        <v>1288</v>
      </c>
      <c r="C49" s="1270"/>
      <c r="D49" s="1271">
        <f>D32-D47</f>
        <v>8763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LaSalle-Peru Area Career Center</v>
      </c>
      <c r="B1" s="2456"/>
      <c r="C1" s="2456"/>
      <c r="D1" s="2456"/>
      <c r="E1" s="2456"/>
      <c r="F1" s="2456"/>
    </row>
    <row r="2" spans="1:7" ht="13.5" customHeight="1" x14ac:dyDescent="0.2">
      <c r="A2" s="2457">
        <f>'Single Audit Cover'!E7</f>
        <v>35050120040</v>
      </c>
      <c r="B2" s="2457"/>
      <c r="C2" s="2457"/>
      <c r="D2" s="2457"/>
      <c r="E2" s="2457"/>
      <c r="F2" s="2457"/>
      <c r="G2" s="1273"/>
    </row>
    <row r="3" spans="1:7" ht="15.75" customHeight="1" x14ac:dyDescent="0.2">
      <c r="A3" s="2458" t="s">
        <v>1333</v>
      </c>
      <c r="B3" s="2458"/>
      <c r="C3" s="2458"/>
      <c r="D3" s="2458"/>
      <c r="E3" s="2458"/>
      <c r="F3" s="2458"/>
    </row>
    <row r="4" spans="1:7" ht="13.5" customHeight="1" x14ac:dyDescent="0.2">
      <c r="A4" s="2459" t="str">
        <f>'Single Audit Cover'!A4</f>
        <v>Year Ending June 30, 2018</v>
      </c>
      <c r="B4" s="2459"/>
      <c r="C4" s="2459"/>
      <c r="D4" s="2459"/>
      <c r="E4" s="2459"/>
      <c r="F4" s="2459"/>
    </row>
    <row r="5" spans="1:7" ht="8.25" customHeight="1" x14ac:dyDescent="0.2">
      <c r="C5" s="317"/>
      <c r="D5" s="317"/>
    </row>
    <row r="6" spans="1:7" ht="13.5" customHeight="1" x14ac:dyDescent="0.2">
      <c r="A6" s="1274" t="s">
        <v>1831</v>
      </c>
      <c r="C6" s="317"/>
      <c r="D6" s="317"/>
    </row>
    <row r="7" spans="1:7" ht="60.95" customHeight="1" x14ac:dyDescent="0.2">
      <c r="A7" s="2455" t="s">
        <v>1832</v>
      </c>
      <c r="B7" s="2455"/>
      <c r="C7" s="2455"/>
      <c r="D7" s="2455"/>
      <c r="E7" s="2455"/>
      <c r="F7" s="2455"/>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5" t="s">
        <v>1834</v>
      </c>
      <c r="B13" s="2455"/>
      <c r="C13" s="2455"/>
      <c r="D13" s="2455"/>
      <c r="E13" s="2455"/>
      <c r="F13" s="2455"/>
    </row>
    <row r="14" spans="1:7" ht="9.75" customHeight="1" x14ac:dyDescent="0.2">
      <c r="C14" s="1258"/>
      <c r="D14" s="1258"/>
    </row>
    <row r="15" spans="1:7" ht="13.5" customHeight="1" x14ac:dyDescent="0.2">
      <c r="C15" s="1869" t="s">
        <v>1332</v>
      </c>
      <c r="D15" s="2453" t="s">
        <v>1331</v>
      </c>
      <c r="E15" s="2453"/>
      <c r="F15" s="2453"/>
    </row>
    <row r="16" spans="1:7" ht="13.5" customHeight="1" x14ac:dyDescent="0.2">
      <c r="A16" s="1280"/>
      <c r="B16" s="1274" t="s">
        <v>1330</v>
      </c>
      <c r="C16" s="1869" t="s">
        <v>1329</v>
      </c>
      <c r="D16" s="2454" t="s">
        <v>1670</v>
      </c>
      <c r="E16" s="2454"/>
      <c r="F16" s="2454"/>
    </row>
    <row r="17" spans="1:6" ht="20.45" customHeight="1" x14ac:dyDescent="0.2">
      <c r="A17" s="1281"/>
      <c r="B17" s="1282"/>
      <c r="C17" s="1283"/>
      <c r="D17" s="2448"/>
      <c r="E17" s="2448"/>
      <c r="F17" s="2448"/>
    </row>
    <row r="18" spans="1:6" ht="20.65" customHeight="1" x14ac:dyDescent="0.2">
      <c r="A18" s="1281"/>
      <c r="B18" s="1282"/>
      <c r="C18" s="1283"/>
      <c r="D18" s="2448"/>
      <c r="E18" s="2448"/>
      <c r="F18" s="2448"/>
    </row>
    <row r="19" spans="1:6" ht="20.65" customHeight="1" x14ac:dyDescent="0.2">
      <c r="A19" s="1281"/>
      <c r="B19" s="1282"/>
      <c r="C19" s="1283"/>
      <c r="D19" s="2448"/>
      <c r="E19" s="2448"/>
      <c r="F19" s="2448"/>
    </row>
    <row r="20" spans="1:6" ht="20.65" customHeight="1" x14ac:dyDescent="0.2">
      <c r="A20" s="1281"/>
      <c r="B20" s="1282"/>
      <c r="C20" s="1283"/>
      <c r="D20" s="2448"/>
      <c r="E20" s="2448"/>
      <c r="F20" s="2448"/>
    </row>
    <row r="21" spans="1:6" ht="20.65" customHeight="1" x14ac:dyDescent="0.2">
      <c r="A21" s="1281"/>
      <c r="B21" s="1282"/>
      <c r="C21" s="1283"/>
      <c r="D21" s="2448"/>
      <c r="E21" s="2448"/>
      <c r="F21" s="2448"/>
    </row>
    <row r="22" spans="1:6" ht="20.65" customHeight="1" x14ac:dyDescent="0.2">
      <c r="A22" s="1281"/>
      <c r="B22" s="1282"/>
      <c r="C22" s="1283"/>
      <c r="D22" s="2448"/>
      <c r="E22" s="2448"/>
      <c r="F22" s="2448"/>
    </row>
    <row r="23" spans="1:6" ht="20.65" customHeight="1" x14ac:dyDescent="0.2">
      <c r="A23" s="1281"/>
      <c r="B23" s="1282"/>
      <c r="C23" s="1283"/>
      <c r="D23" s="2448"/>
      <c r="E23" s="2448"/>
      <c r="F23" s="2448"/>
    </row>
    <row r="24" spans="1:6" ht="20.65" customHeight="1" x14ac:dyDescent="0.2">
      <c r="A24" s="1281"/>
      <c r="B24" s="1282"/>
      <c r="C24" s="1283"/>
      <c r="D24" s="2448"/>
      <c r="E24" s="2448"/>
      <c r="F24" s="2448"/>
    </row>
    <row r="25" spans="1:6" ht="20.65" customHeight="1" x14ac:dyDescent="0.2">
      <c r="A25" s="1281"/>
      <c r="B25" s="1282"/>
      <c r="C25" s="1283"/>
      <c r="D25" s="2448"/>
      <c r="E25" s="2448"/>
      <c r="F25" s="2448"/>
    </row>
    <row r="26" spans="1:6" ht="20.65" customHeight="1" x14ac:dyDescent="0.2">
      <c r="A26" s="1281"/>
      <c r="B26" s="1282"/>
      <c r="C26" s="1283"/>
      <c r="D26" s="2448"/>
      <c r="E26" s="2448"/>
      <c r="F26" s="2448"/>
    </row>
    <row r="27" spans="1:6" ht="20.65" customHeight="1" x14ac:dyDescent="0.2">
      <c r="A27" s="1281"/>
      <c r="B27" s="1282"/>
      <c r="C27" s="1283"/>
      <c r="D27" s="2448"/>
      <c r="E27" s="2448"/>
      <c r="F27" s="2448"/>
    </row>
    <row r="28" spans="1:6" ht="20.65" customHeight="1" x14ac:dyDescent="0.2">
      <c r="A28" s="1281"/>
      <c r="B28" s="1282"/>
      <c r="C28" s="1283"/>
      <c r="D28" s="2448"/>
      <c r="E28" s="2448"/>
      <c r="F28" s="2448"/>
    </row>
    <row r="29" spans="1:6" ht="20.65" customHeight="1" x14ac:dyDescent="0.2">
      <c r="A29" s="1281"/>
      <c r="B29" s="1282"/>
      <c r="C29" s="1283"/>
      <c r="D29" s="2448"/>
      <c r="E29" s="2448"/>
      <c r="F29" s="2448"/>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49" t="s">
        <v>1835</v>
      </c>
      <c r="B32" s="2449"/>
      <c r="C32" s="2449"/>
      <c r="D32" s="2449"/>
      <c r="E32" s="2449"/>
      <c r="F32" s="2449"/>
    </row>
    <row r="33" spans="1:6" ht="13.5" customHeight="1" x14ac:dyDescent="0.2">
      <c r="A33" s="328" t="s">
        <v>1509</v>
      </c>
      <c r="B33" s="328"/>
      <c r="C33" s="1286">
        <v>0</v>
      </c>
      <c r="D33" s="1926"/>
      <c r="E33" s="1284"/>
    </row>
    <row r="34" spans="1:6" ht="13.5" customHeight="1" x14ac:dyDescent="0.2">
      <c r="A34" s="328" t="s">
        <v>1948</v>
      </c>
      <c r="B34" s="328"/>
      <c r="C34" s="1287">
        <v>0</v>
      </c>
      <c r="D34" s="1926" t="s">
        <v>1671</v>
      </c>
      <c r="E34" s="2450">
        <f>+C33+C34</f>
        <v>0</v>
      </c>
      <c r="F34" s="2451"/>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2" t="s">
        <v>1672</v>
      </c>
      <c r="C49" s="2452"/>
      <c r="D49" s="2452"/>
      <c r="E49" s="1397"/>
    </row>
    <row r="50" spans="1:5" s="1298" customFormat="1" ht="3.75" customHeight="1" x14ac:dyDescent="0.2">
      <c r="A50" s="1297"/>
      <c r="B50" s="1868"/>
      <c r="C50" s="1868"/>
      <c r="D50" s="1868"/>
      <c r="E50" s="1397"/>
    </row>
    <row r="51" spans="1:5" s="1298" customFormat="1" ht="20.25" customHeight="1" x14ac:dyDescent="0.2">
      <c r="A51" s="1299">
        <v>6</v>
      </c>
      <c r="B51" s="2447" t="s">
        <v>1632</v>
      </c>
      <c r="C51" s="2447"/>
      <c r="D51" s="2447"/>
    </row>
    <row r="52" spans="1:5" ht="14.25" customHeight="1" x14ac:dyDescent="0.2">
      <c r="A52" s="1299"/>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26" t="str">
        <f>'Single Audit Cover'!A7</f>
        <v>LaSalle-Peru Area Career Center</v>
      </c>
      <c r="C1" s="2460"/>
      <c r="D1" s="2460"/>
      <c r="E1" s="2460"/>
      <c r="F1" s="2460"/>
      <c r="G1" s="2460"/>
      <c r="H1" s="2460"/>
      <c r="I1" s="2460"/>
      <c r="J1" s="2460"/>
      <c r="K1" s="2460"/>
      <c r="L1" s="2460"/>
      <c r="M1" s="2460"/>
    </row>
    <row r="2" spans="2:14" ht="15" x14ac:dyDescent="0.2">
      <c r="B2" s="2457">
        <f>'Single Audit Cover'!E7</f>
        <v>35050120040</v>
      </c>
      <c r="C2" s="2457"/>
      <c r="D2" s="2457"/>
      <c r="E2" s="2457"/>
      <c r="F2" s="2457"/>
      <c r="G2" s="2457"/>
      <c r="H2" s="2457"/>
      <c r="I2" s="2457"/>
      <c r="J2" s="2457"/>
      <c r="K2" s="2457"/>
      <c r="L2" s="2457"/>
      <c r="M2" s="2457"/>
      <c r="N2" s="1300"/>
    </row>
    <row r="3" spans="2:14" ht="15" x14ac:dyDescent="0.2">
      <c r="B3" s="2461" t="s">
        <v>1281</v>
      </c>
      <c r="C3" s="2461"/>
      <c r="D3" s="2461"/>
      <c r="E3" s="2461"/>
      <c r="F3" s="2461"/>
      <c r="G3" s="2461"/>
      <c r="H3" s="2461"/>
      <c r="I3" s="2461"/>
      <c r="J3" s="2461"/>
      <c r="K3" s="2461"/>
      <c r="L3" s="2461"/>
      <c r="M3" s="2461"/>
      <c r="N3" s="1300"/>
    </row>
    <row r="4" spans="2:14" ht="15" x14ac:dyDescent="0.2">
      <c r="B4" s="2462" t="str">
        <f>'Single Audit Cover'!A4</f>
        <v>Year Ending June 30, 2018</v>
      </c>
      <c r="C4" s="2462"/>
      <c r="D4" s="2462"/>
      <c r="E4" s="2462"/>
      <c r="F4" s="2462"/>
      <c r="G4" s="2462"/>
      <c r="H4" s="2462"/>
      <c r="I4" s="2462"/>
      <c r="J4" s="2462"/>
      <c r="K4" s="2462"/>
      <c r="L4" s="2462"/>
      <c r="M4" s="2462"/>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1949</v>
      </c>
      <c r="K8" s="1317" t="s">
        <v>1323</v>
      </c>
      <c r="L8" s="1318" t="s">
        <v>1319</v>
      </c>
      <c r="M8" s="1319" t="s">
        <v>30</v>
      </c>
    </row>
    <row r="9" spans="2:14" ht="14.25" x14ac:dyDescent="0.2">
      <c r="B9" s="1323" t="s">
        <v>1321</v>
      </c>
      <c r="C9" s="1311" t="s">
        <v>1838</v>
      </c>
      <c r="D9" s="1312" t="s">
        <v>1839</v>
      </c>
      <c r="E9" s="1320" t="s">
        <v>1663</v>
      </c>
      <c r="F9" s="1321" t="s">
        <v>1949</v>
      </c>
      <c r="G9" s="1322" t="s">
        <v>1663</v>
      </c>
      <c r="H9" s="1315" t="s">
        <v>1664</v>
      </c>
      <c r="I9" s="1317" t="s">
        <v>1949</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2084</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4" t="str">
        <f>'Single Audit Cover'!A7</f>
        <v>LaSalle-Peru Area Career Center</v>
      </c>
      <c r="C1" s="2475"/>
      <c r="D1" s="2475"/>
      <c r="E1" s="2475"/>
      <c r="F1" s="2475"/>
      <c r="G1" s="2475"/>
      <c r="H1" s="2475"/>
      <c r="I1" s="2475"/>
      <c r="J1" s="1420"/>
    </row>
    <row r="2" spans="2:10" s="317" customFormat="1" ht="12.75" customHeight="1" x14ac:dyDescent="0.2">
      <c r="B2" s="2476">
        <f>'Single Audit Cover'!E7</f>
        <v>35050120040</v>
      </c>
      <c r="C2" s="2477"/>
      <c r="D2" s="2477"/>
      <c r="E2" s="2477"/>
      <c r="F2" s="2477"/>
      <c r="G2" s="2477"/>
      <c r="H2" s="2477"/>
      <c r="I2" s="2477"/>
      <c r="J2" s="1420"/>
    </row>
    <row r="3" spans="2:10" s="317" customFormat="1" ht="12.75" customHeight="1" x14ac:dyDescent="0.2">
      <c r="B3" s="2478" t="s">
        <v>1347</v>
      </c>
      <c r="C3" s="2479"/>
      <c r="D3" s="2479"/>
      <c r="E3" s="2479"/>
      <c r="F3" s="2479"/>
      <c r="G3" s="2479"/>
      <c r="H3" s="2479"/>
      <c r="I3" s="2479"/>
      <c r="J3" s="1421"/>
    </row>
    <row r="4" spans="2:10" s="317" customFormat="1" ht="12.75" customHeight="1" x14ac:dyDescent="0.2">
      <c r="B4" s="2478" t="str">
        <f>'Single Audit Cover'!A4</f>
        <v>Year Ending June 30, 2018</v>
      </c>
      <c r="C4" s="2479"/>
      <c r="D4" s="2479"/>
      <c r="E4" s="2479"/>
      <c r="F4" s="2479"/>
      <c r="G4" s="2479"/>
      <c r="H4" s="2479"/>
      <c r="I4" s="2479"/>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8" t="s">
        <v>1346</v>
      </c>
      <c r="C7" s="2479"/>
      <c r="D7" s="2479"/>
      <c r="E7" s="2479"/>
      <c r="F7" s="2479"/>
      <c r="G7" s="2479"/>
      <c r="H7" s="2479"/>
      <c r="I7" s="2479"/>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0"/>
      <c r="D11" s="2480"/>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1"/>
      <c r="E29" s="2481"/>
      <c r="F29" s="2481"/>
      <c r="G29" s="2481"/>
      <c r="H29" s="2481"/>
      <c r="I29" s="2481"/>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2" t="s">
        <v>1854</v>
      </c>
      <c r="D37" s="2483"/>
      <c r="E37" s="2483"/>
      <c r="F37" s="2484"/>
      <c r="G37" s="2482" t="s">
        <v>1674</v>
      </c>
      <c r="H37" s="2483"/>
      <c r="I37" s="2484"/>
    </row>
    <row r="38" spans="2:9" ht="16.5" customHeight="1" x14ac:dyDescent="0.2">
      <c r="B38" s="1442"/>
      <c r="C38" s="2470"/>
      <c r="D38" s="2471"/>
      <c r="E38" s="2471"/>
      <c r="F38" s="2472"/>
      <c r="G38" s="2485"/>
      <c r="H38" s="2486"/>
      <c r="I38" s="2487"/>
    </row>
    <row r="39" spans="2:9" ht="16.5" customHeight="1" x14ac:dyDescent="0.2">
      <c r="B39" s="1442"/>
      <c r="C39" s="2470"/>
      <c r="D39" s="2471"/>
      <c r="E39" s="2471"/>
      <c r="F39" s="2472"/>
      <c r="G39" s="2473"/>
      <c r="H39" s="2473"/>
      <c r="I39" s="2473"/>
    </row>
    <row r="40" spans="2:9" ht="16.5" customHeight="1" x14ac:dyDescent="0.2">
      <c r="B40" s="1442"/>
      <c r="C40" s="2470"/>
      <c r="D40" s="2471"/>
      <c r="E40" s="2471"/>
      <c r="F40" s="2472"/>
      <c r="G40" s="2473"/>
      <c r="H40" s="2473"/>
      <c r="I40" s="2473"/>
    </row>
    <row r="41" spans="2:9" ht="16.5" customHeight="1" x14ac:dyDescent="0.2">
      <c r="B41" s="1442"/>
      <c r="C41" s="2470"/>
      <c r="D41" s="2471"/>
      <c r="E41" s="2471"/>
      <c r="F41" s="2472"/>
      <c r="G41" s="2473"/>
      <c r="H41" s="2473"/>
      <c r="I41" s="2473"/>
    </row>
    <row r="42" spans="2:9" ht="16.5" customHeight="1" x14ac:dyDescent="0.2">
      <c r="B42" s="1442"/>
      <c r="C42" s="2470"/>
      <c r="D42" s="2471"/>
      <c r="E42" s="2471"/>
      <c r="F42" s="2472"/>
      <c r="G42" s="2473"/>
      <c r="H42" s="2473"/>
      <c r="I42" s="2473"/>
    </row>
    <row r="43" spans="2:9" ht="16.5" customHeight="1" x14ac:dyDescent="0.2">
      <c r="B43" s="1442"/>
      <c r="C43" s="2463" t="s">
        <v>1675</v>
      </c>
      <c r="D43" s="2464"/>
      <c r="E43" s="2464"/>
      <c r="F43" s="2465"/>
      <c r="G43" s="2466">
        <f>SUM(G38:I42)</f>
        <v>0</v>
      </c>
      <c r="H43" s="2466"/>
      <c r="I43" s="2466"/>
    </row>
    <row r="44" spans="2:9" ht="12.75" customHeight="1" x14ac:dyDescent="0.2"/>
    <row r="45" spans="2:9" ht="12.75" customHeight="1" x14ac:dyDescent="0.2">
      <c r="B45" s="1433" t="s">
        <v>1951</v>
      </c>
      <c r="D45" s="2467">
        <v>0</v>
      </c>
      <c r="E45" s="2468"/>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69"/>
      <c r="F49" s="2469"/>
      <c r="G49" s="2469"/>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4" t="str">
        <f>'Single Audit Cover'!A7</f>
        <v>LaSalle-Peru Area Career Center</v>
      </c>
      <c r="C1" s="2474"/>
      <c r="D1" s="2474"/>
      <c r="E1" s="2474"/>
      <c r="F1" s="2474"/>
      <c r="G1" s="2474"/>
      <c r="H1" s="2474"/>
      <c r="I1" s="2474"/>
      <c r="J1" s="2474"/>
      <c r="K1" s="2474"/>
      <c r="L1" s="1372"/>
      <c r="M1" s="1372"/>
    </row>
    <row r="2" spans="1:13" ht="12" customHeight="1" x14ac:dyDescent="0.2">
      <c r="B2" s="2476">
        <f>'Single Audit Cover'!E7</f>
        <v>35050120040</v>
      </c>
      <c r="C2" s="2476"/>
      <c r="D2" s="2476"/>
      <c r="E2" s="2476"/>
      <c r="F2" s="2476"/>
      <c r="G2" s="2476"/>
      <c r="H2" s="2476"/>
      <c r="I2" s="2476"/>
      <c r="J2" s="2476"/>
      <c r="K2" s="2476"/>
      <c r="L2" s="1373"/>
      <c r="M2" s="1374"/>
    </row>
    <row r="3" spans="1:13" ht="10.35" customHeight="1" x14ac:dyDescent="0.2">
      <c r="B3" s="2490" t="s">
        <v>1347</v>
      </c>
      <c r="C3" s="2490"/>
      <c r="D3" s="2490"/>
      <c r="E3" s="2490"/>
      <c r="F3" s="2490"/>
      <c r="G3" s="2490"/>
      <c r="H3" s="2490"/>
      <c r="I3" s="2490"/>
      <c r="J3" s="2490"/>
      <c r="K3" s="2490"/>
      <c r="L3" s="1375"/>
      <c r="M3" s="1375"/>
    </row>
    <row r="4" spans="1:13" ht="14.25" customHeight="1" x14ac:dyDescent="0.2">
      <c r="B4" s="2491" t="str">
        <f>'Single Audit Cover'!A4</f>
        <v>Year Ending June 30, 2018</v>
      </c>
      <c r="C4" s="2491"/>
      <c r="D4" s="2491"/>
      <c r="E4" s="2491"/>
      <c r="F4" s="2491"/>
      <c r="G4" s="2491"/>
      <c r="H4" s="2491"/>
      <c r="I4" s="2491"/>
      <c r="J4" s="2491"/>
      <c r="K4" s="2491"/>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1" t="s">
        <v>1363</v>
      </c>
      <c r="C7" s="2491"/>
      <c r="D7" s="2492"/>
      <c r="E7" s="2492"/>
      <c r="F7" s="2492"/>
      <c r="G7" s="2492"/>
      <c r="H7" s="2492"/>
      <c r="I7" s="2492"/>
      <c r="J7" s="2492"/>
      <c r="K7" s="2492"/>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1952</v>
      </c>
      <c r="D10" s="1384" t="s">
        <v>2106</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89"/>
      <c r="C14" s="2489"/>
      <c r="D14" s="2489"/>
      <c r="E14" s="2489"/>
      <c r="F14" s="2489"/>
      <c r="G14" s="2489"/>
      <c r="H14" s="2489"/>
      <c r="I14" s="2489"/>
      <c r="J14" s="2489"/>
      <c r="K14" s="2489"/>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89"/>
      <c r="C17" s="2489"/>
      <c r="D17" s="2489"/>
      <c r="E17" s="2489"/>
      <c r="F17" s="2489"/>
      <c r="G17" s="2489"/>
      <c r="H17" s="2489"/>
      <c r="I17" s="2489"/>
      <c r="J17" s="2489"/>
      <c r="K17" s="2489"/>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3"/>
      <c r="C20" s="2493"/>
      <c r="D20" s="2489"/>
      <c r="E20" s="2489"/>
      <c r="F20" s="2489"/>
      <c r="G20" s="2489"/>
      <c r="H20" s="2489"/>
      <c r="I20" s="2489"/>
      <c r="J20" s="2489"/>
      <c r="K20" s="2489"/>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89"/>
      <c r="C23" s="2489"/>
      <c r="D23" s="2489"/>
      <c r="E23" s="2489"/>
      <c r="F23" s="2489"/>
      <c r="G23" s="2489"/>
      <c r="H23" s="2489"/>
      <c r="I23" s="2489"/>
      <c r="J23" s="2489"/>
      <c r="K23" s="2489"/>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89"/>
      <c r="C26" s="2489"/>
      <c r="D26" s="2489"/>
      <c r="E26" s="2489"/>
      <c r="F26" s="2489"/>
      <c r="G26" s="2489"/>
      <c r="H26" s="2489"/>
      <c r="I26" s="2489"/>
      <c r="J26" s="2489"/>
      <c r="K26" s="2489"/>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88"/>
      <c r="C29" s="2488"/>
      <c r="D29" s="2489"/>
      <c r="E29" s="2489"/>
      <c r="F29" s="2489"/>
      <c r="G29" s="2489"/>
      <c r="H29" s="2489"/>
      <c r="I29" s="2489"/>
      <c r="J29" s="2489"/>
      <c r="K29" s="2489"/>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88"/>
      <c r="C32" s="2488"/>
      <c r="D32" s="2489"/>
      <c r="E32" s="2489"/>
      <c r="F32" s="2489"/>
      <c r="G32" s="2489"/>
      <c r="H32" s="2489"/>
      <c r="I32" s="2489"/>
      <c r="J32" s="2489"/>
      <c r="K32" s="2489"/>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7" t="str">
        <f>'Single Audit Cover'!A7</f>
        <v>LaSalle-Peru Area Career Center</v>
      </c>
      <c r="C1" s="2497"/>
      <c r="D1" s="2497"/>
      <c r="E1" s="2497"/>
      <c r="F1" s="2497"/>
      <c r="G1" s="2497"/>
      <c r="H1" s="2497"/>
      <c r="I1" s="2497"/>
      <c r="J1" s="2497"/>
      <c r="K1" s="2497"/>
      <c r="L1" s="1463"/>
    </row>
    <row r="2" spans="1:12" ht="12.75" customHeight="1" x14ac:dyDescent="0.2">
      <c r="B2" s="2498">
        <f>'Single Audit Cover'!E7</f>
        <v>35050120040</v>
      </c>
      <c r="C2" s="2498"/>
      <c r="D2" s="2498"/>
      <c r="E2" s="2498"/>
      <c r="F2" s="2498"/>
      <c r="G2" s="2498"/>
      <c r="H2" s="2498"/>
      <c r="I2" s="2498"/>
      <c r="J2" s="2498"/>
      <c r="K2" s="2498"/>
      <c r="L2" s="1464"/>
    </row>
    <row r="3" spans="1:12" ht="12.75" customHeight="1" x14ac:dyDescent="0.2">
      <c r="B3" s="2490" t="s">
        <v>1347</v>
      </c>
      <c r="C3" s="2490"/>
      <c r="D3" s="2490"/>
      <c r="E3" s="2490"/>
      <c r="F3" s="2490"/>
      <c r="G3" s="2490"/>
      <c r="H3" s="2490"/>
      <c r="I3" s="2490"/>
      <c r="J3" s="2490"/>
      <c r="K3" s="2490"/>
      <c r="L3" s="1375"/>
    </row>
    <row r="4" spans="1:12" ht="12.75" customHeight="1" x14ac:dyDescent="0.2">
      <c r="B4" s="2490" t="str">
        <f>'Single Audit Cover'!A4</f>
        <v>Year Ending June 30, 2018</v>
      </c>
      <c r="C4" s="2490"/>
      <c r="D4" s="2490"/>
      <c r="E4" s="2490"/>
      <c r="F4" s="2490"/>
      <c r="G4" s="2490"/>
      <c r="H4" s="2490"/>
      <c r="I4" s="2490"/>
      <c r="J4" s="2490"/>
      <c r="K4" s="2490"/>
      <c r="L4" s="1375"/>
    </row>
    <row r="5" spans="1:12" ht="5.25" customHeight="1" x14ac:dyDescent="0.2">
      <c r="B5" s="1258" t="s">
        <v>1231</v>
      </c>
      <c r="C5" s="1258"/>
      <c r="L5" s="322"/>
    </row>
    <row r="6" spans="1:12" ht="30.75" customHeight="1" x14ac:dyDescent="0.2">
      <c r="A6" s="322"/>
      <c r="B6" s="2499" t="s">
        <v>1375</v>
      </c>
      <c r="C6" s="2499"/>
      <c r="D6" s="2499"/>
      <c r="E6" s="2499"/>
      <c r="F6" s="2499"/>
      <c r="G6" s="2499"/>
      <c r="H6" s="2499"/>
      <c r="I6" s="2499"/>
      <c r="J6" s="2499"/>
      <c r="K6" s="2499"/>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1952</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1"/>
      <c r="G12" s="2481"/>
      <c r="H12" s="2481"/>
      <c r="I12" s="2481"/>
      <c r="J12" s="2481"/>
      <c r="K12" s="2481"/>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4"/>
      <c r="E14" s="2494"/>
      <c r="F14" s="2494"/>
      <c r="H14" s="1473" t="s">
        <v>1370</v>
      </c>
      <c r="I14" s="2495"/>
      <c r="J14" s="2495"/>
      <c r="K14" s="2495"/>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5"/>
      <c r="E16" s="2495"/>
      <c r="F16" s="2495"/>
      <c r="G16" s="2495"/>
      <c r="H16" s="2495"/>
      <c r="I16" s="2495"/>
      <c r="J16" s="2495"/>
      <c r="K16" s="2495"/>
      <c r="L16" s="322"/>
    </row>
    <row r="17" spans="2:12" ht="13.5" customHeight="1" x14ac:dyDescent="0.2">
      <c r="B17" s="1385" t="s">
        <v>1368</v>
      </c>
      <c r="C17" s="1385"/>
      <c r="D17" s="2496"/>
      <c r="E17" s="2496"/>
      <c r="F17" s="2496"/>
      <c r="G17" s="2496"/>
      <c r="H17" s="2496"/>
      <c r="I17" s="2496"/>
      <c r="J17" s="2496"/>
      <c r="K17" s="2496"/>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89"/>
      <c r="C20" s="2489"/>
      <c r="D20" s="2489"/>
      <c r="E20" s="2489"/>
      <c r="F20" s="2489"/>
      <c r="G20" s="2489"/>
      <c r="H20" s="2489"/>
      <c r="I20" s="2489"/>
      <c r="J20" s="2489"/>
      <c r="K20" s="2489"/>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89"/>
      <c r="C23" s="2489"/>
      <c r="D23" s="2489"/>
      <c r="E23" s="2489"/>
      <c r="F23" s="2489"/>
      <c r="G23" s="2489"/>
      <c r="H23" s="2489"/>
      <c r="I23" s="2489"/>
      <c r="J23" s="2489"/>
      <c r="K23" s="2489"/>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89"/>
      <c r="C26" s="2489"/>
      <c r="D26" s="2489"/>
      <c r="E26" s="2489"/>
      <c r="F26" s="2489"/>
      <c r="G26" s="2489"/>
      <c r="H26" s="2489"/>
      <c r="I26" s="2489"/>
      <c r="J26" s="2489"/>
      <c r="K26" s="2489"/>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89"/>
      <c r="C29" s="2489"/>
      <c r="D29" s="2489"/>
      <c r="E29" s="2489"/>
      <c r="F29" s="2489"/>
      <c r="G29" s="2489"/>
      <c r="H29" s="2489"/>
      <c r="I29" s="2489"/>
      <c r="J29" s="2489"/>
      <c r="K29" s="2489"/>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89"/>
      <c r="C32" s="2489"/>
      <c r="D32" s="2489"/>
      <c r="E32" s="2489"/>
      <c r="F32" s="2489"/>
      <c r="G32" s="2489"/>
      <c r="H32" s="2489"/>
      <c r="I32" s="2489"/>
      <c r="J32" s="2489"/>
      <c r="K32" s="2489"/>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89"/>
      <c r="C35" s="2489"/>
      <c r="D35" s="2489"/>
      <c r="E35" s="2489"/>
      <c r="F35" s="2489"/>
      <c r="G35" s="2489"/>
      <c r="H35" s="2489"/>
      <c r="I35" s="2489"/>
      <c r="J35" s="2489"/>
      <c r="K35" s="2489"/>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89"/>
      <c r="C38" s="2489"/>
      <c r="D38" s="2489"/>
      <c r="E38" s="2489"/>
      <c r="F38" s="2489"/>
      <c r="G38" s="2489"/>
      <c r="H38" s="2489"/>
      <c r="I38" s="2489"/>
      <c r="J38" s="2489"/>
      <c r="K38" s="2489"/>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89"/>
      <c r="C41" s="2489"/>
      <c r="D41" s="2489"/>
      <c r="E41" s="2489"/>
      <c r="F41" s="2489"/>
      <c r="G41" s="2489"/>
      <c r="H41" s="2489"/>
      <c r="I41" s="2489"/>
      <c r="J41" s="2489"/>
      <c r="K41" s="2489"/>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4" t="str">
        <f>'Single Audit Cover'!A7</f>
        <v>LaSalle-Peru Area Career Center</v>
      </c>
      <c r="C1" s="2474"/>
      <c r="D1" s="2474"/>
      <c r="E1" s="1489"/>
    </row>
    <row r="2" spans="2:5" s="1280" customFormat="1" ht="12.75" customHeight="1" x14ac:dyDescent="0.2">
      <c r="B2" s="2476">
        <f>'Single Audit Cover'!E7</f>
        <v>35050120040</v>
      </c>
      <c r="C2" s="2476"/>
      <c r="D2" s="2476"/>
      <c r="E2" s="1490"/>
    </row>
    <row r="3" spans="2:5" ht="12.75" customHeight="1" x14ac:dyDescent="0.2">
      <c r="B3" s="2490" t="s">
        <v>1869</v>
      </c>
      <c r="C3" s="2490"/>
      <c r="D3" s="2490"/>
      <c r="E3" s="1272"/>
    </row>
    <row r="4" spans="2:5" s="1280" customFormat="1" ht="12.75" customHeight="1" x14ac:dyDescent="0.2">
      <c r="B4" s="2500" t="str">
        <f>'Single Audit Cover'!A4</f>
        <v>Year Ending June 30, 2018</v>
      </c>
      <c r="C4" s="2500"/>
      <c r="D4" s="2500"/>
      <c r="E4" s="1491"/>
    </row>
    <row r="5" spans="2:5" s="1280" customFormat="1" ht="40.15" customHeight="1" x14ac:dyDescent="0.2">
      <c r="B5" s="1492"/>
      <c r="C5" s="328"/>
      <c r="D5" s="328"/>
      <c r="E5" s="328"/>
    </row>
    <row r="6" spans="2:5" s="1280" customFormat="1" ht="13.5" customHeight="1" x14ac:dyDescent="0.2">
      <c r="B6" s="1493" t="s">
        <v>1382</v>
      </c>
      <c r="C6" s="1493" t="s">
        <v>1381</v>
      </c>
      <c r="D6" s="1493" t="s">
        <v>1870</v>
      </c>
    </row>
    <row r="7" spans="2:5" ht="13.5" customHeight="1" x14ac:dyDescent="0.2">
      <c r="B7" s="1494"/>
      <c r="C7" s="324"/>
      <c r="D7" s="324"/>
      <c r="E7" s="324"/>
    </row>
    <row r="8" spans="2:5" ht="13.5" customHeight="1" x14ac:dyDescent="0.2">
      <c r="B8" s="1494" t="s">
        <v>2098</v>
      </c>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1871</v>
      </c>
    </row>
    <row r="46" spans="2:5" ht="12.2" customHeight="1" x14ac:dyDescent="0.2">
      <c r="B46" s="1503" t="s">
        <v>1872</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elements/1.1/"/>
    <ds:schemaRef ds:uri="4d435f69-8686-490b-bd6d-b153bf22ab50"/>
    <ds:schemaRef ds:uri="http://purl.org/dc/terms/"/>
    <ds:schemaRef ds:uri="http://schemas.microsoft.com/office/2006/metadata/properties"/>
    <ds:schemaRef ds:uri="6ce3111e-7420-4802-b50a-75d4e9a0b980"/>
    <ds:schemaRef ds:uri="http://purl.org/dc/dcmitype/"/>
    <ds:schemaRef ds:uri="http://schemas.microsoft.com/office/2006/documentManagement/types"/>
    <ds:schemaRef ds:uri="http://www.w3.org/XML/1998/namespace"/>
    <ds:schemaRef ds:uri="d21dc803-237d-4c68-8692-8d731fd29118"/>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2018-10-03T21:26:49Z</cp:lastPrinted>
  <dcterms:created xsi:type="dcterms:W3CDTF">2003-10-29T19:06:34Z</dcterms:created>
  <dcterms:modified xsi:type="dcterms:W3CDTF">2018-10-29T20:03:41Z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