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4310" windowWidth="28830" windowHeight="6450" tabRatio="93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C33" i="5" l="1"/>
  <c r="D19" i="181" l="1"/>
  <c r="D17" i="181"/>
  <c r="G38" i="174" l="1"/>
  <c r="F17" i="179"/>
  <c r="M17" i="183"/>
  <c r="J17" i="183"/>
  <c r="H17" i="183"/>
  <c r="E17" i="183"/>
  <c r="I15" i="183"/>
  <c r="G15" i="183"/>
  <c r="F15" i="183"/>
  <c r="E15" i="183"/>
  <c r="L27" i="183"/>
  <c r="L26" i="183"/>
  <c r="L25" i="183"/>
  <c r="L24" i="183"/>
  <c r="L23" i="183"/>
  <c r="L22" i="183"/>
  <c r="L21" i="183"/>
  <c r="L20" i="183"/>
  <c r="L19" i="183"/>
  <c r="L18" i="183"/>
  <c r="L16" i="183"/>
  <c r="L15" i="183"/>
  <c r="L14" i="183"/>
  <c r="L13" i="183"/>
  <c r="L12" i="183"/>
  <c r="L11" i="183"/>
  <c r="B4" i="183"/>
  <c r="J25" i="179"/>
  <c r="H25" i="179"/>
  <c r="I25" i="179"/>
  <c r="G25" i="179"/>
  <c r="G17" i="183" s="1"/>
  <c r="F25" i="179"/>
  <c r="E25" i="179"/>
  <c r="M17" i="179"/>
  <c r="J17" i="179"/>
  <c r="I17" i="179"/>
  <c r="H17" i="179"/>
  <c r="G17" i="179"/>
  <c r="E17" i="179"/>
  <c r="F17" i="183" l="1"/>
  <c r="I17" i="183"/>
  <c r="L17" i="183" s="1"/>
  <c r="E10" i="108" l="1"/>
  <c r="I14" i="11"/>
  <c r="H14" i="11"/>
  <c r="D12" i="1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A2" i="170"/>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D1378" i="106"/>
  <c r="D1379" i="106"/>
  <c r="K183" i="29"/>
  <c r="B1380" i="106" s="1"/>
  <c r="D1380" i="106" s="1"/>
  <c r="K180" i="29"/>
  <c r="K188" i="29"/>
  <c r="B3007" i="106" s="1"/>
  <c r="D3007" i="106" s="1"/>
  <c r="K189" i="29"/>
  <c r="K190" i="29"/>
  <c r="B3009" i="106" s="1"/>
  <c r="D3009" i="106" s="1"/>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0"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E27" i="108"/>
  <c r="G27" i="108"/>
  <c r="E28" i="108"/>
  <c r="F28" i="108"/>
  <c r="F31" i="108"/>
  <c r="F36" i="108"/>
  <c r="G28"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F106" i="34" s="1"/>
  <c r="D140" i="5"/>
  <c r="B5383" i="106"/>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E4" i="4"/>
  <c r="B2630" i="106" s="1"/>
  <c r="D2630" i="106" s="1"/>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D4" i="7"/>
  <c r="B1760" i="106" s="1"/>
  <c r="D1760" i="106" s="1"/>
  <c r="D5" i="7"/>
  <c r="B1761" i="106" s="1"/>
  <c r="D1761" i="106" s="1"/>
  <c r="D13" i="7"/>
  <c r="B3726" i="106" s="1"/>
  <c r="D3726" i="106" s="1"/>
  <c r="D9" i="7"/>
  <c r="B1767" i="106" s="1"/>
  <c r="D1767" i="106" s="1"/>
  <c r="F128" i="34"/>
  <c r="B5847" i="106"/>
  <c r="D5847" i="106" s="1"/>
  <c r="B5752" i="106"/>
  <c r="D5752" i="106" s="1"/>
  <c r="B5599" i="106"/>
  <c r="D5599" i="106" s="1"/>
  <c r="K274" i="5"/>
  <c r="H173" i="5"/>
  <c r="B5906" i="106" s="1"/>
  <c r="D5906" i="106" s="1"/>
  <c r="D7" i="7"/>
  <c r="B1763" i="106" s="1"/>
  <c r="D1763" i="106" s="1"/>
  <c r="B1746" i="106"/>
  <c r="D1746" i="106" s="1"/>
  <c r="D17" i="7"/>
  <c r="B4104" i="106" s="1"/>
  <c r="D4104" i="106" s="1"/>
  <c r="D11" i="7"/>
  <c r="B1768" i="106" s="1"/>
  <c r="D1768" i="106" s="1"/>
  <c r="D15" i="7"/>
  <c r="B1772" i="106" s="1"/>
  <c r="D1772" i="106" s="1"/>
  <c r="F37" i="108" l="1"/>
  <c r="G173" i="5"/>
  <c r="B5778" i="106" s="1"/>
  <c r="D5778" i="106" s="1"/>
  <c r="B5770" i="106"/>
  <c r="D5770" i="106" s="1"/>
  <c r="H6" i="4"/>
  <c r="B2656" i="106" s="1"/>
  <c r="D2656" i="106" s="1"/>
  <c r="D109" i="5"/>
  <c r="F111" i="34"/>
  <c r="F131" i="34"/>
  <c r="G5" i="4"/>
  <c r="B3409" i="106" s="1"/>
  <c r="D3409" i="106" s="1"/>
  <c r="B7041" i="106"/>
  <c r="D7041" i="106" s="1"/>
  <c r="I173" i="5"/>
  <c r="B4216" i="106" s="1"/>
  <c r="D4216" i="106" s="1"/>
  <c r="F34" i="34"/>
  <c r="F77" i="4"/>
  <c r="B3255" i="106" s="1"/>
  <c r="D3255" i="106" s="1"/>
  <c r="B1795" i="106"/>
  <c r="D1795" i="106" s="1"/>
  <c r="F19" i="7"/>
  <c r="B1807" i="106" s="1"/>
  <c r="D1807" i="106" s="1"/>
  <c r="B3658" i="106"/>
  <c r="D3658" i="106" s="1"/>
  <c r="H365" i="29"/>
  <c r="B3170" i="106"/>
  <c r="D3170" i="106" s="1"/>
  <c r="H76" i="4"/>
  <c r="B3298" i="106" s="1"/>
  <c r="D3298" i="106" s="1"/>
  <c r="H109" i="5"/>
  <c r="F127" i="34"/>
  <c r="F136" i="34"/>
  <c r="B5161" i="106"/>
  <c r="D5161" i="106" s="1"/>
  <c r="G109" i="5"/>
  <c r="H342" i="29"/>
  <c r="B3565" i="106"/>
  <c r="D3565" i="106" s="1"/>
  <c r="K41" i="3"/>
  <c r="H44" i="4"/>
  <c r="B6289" i="106"/>
  <c r="D6289" i="106" s="1"/>
  <c r="B4087" i="106"/>
  <c r="D4087" i="106" s="1"/>
  <c r="K184" i="29"/>
  <c r="F13" i="4" s="1"/>
  <c r="B2596" i="106" s="1"/>
  <c r="D2596" i="106" s="1"/>
  <c r="B1377" i="106"/>
  <c r="D1377" i="106" s="1"/>
  <c r="E29" i="108"/>
  <c r="B1365" i="106"/>
  <c r="D1365" i="106" s="1"/>
  <c r="F65" i="34"/>
  <c r="C352" i="29"/>
  <c r="B3619" i="106"/>
  <c r="D3619" i="106" s="1"/>
  <c r="D12" i="7"/>
  <c r="B1769" i="106" s="1"/>
  <c r="D1769" i="106" s="1"/>
  <c r="F130" i="34"/>
  <c r="L5" i="11"/>
  <c r="B2056" i="106" s="1"/>
  <c r="D2056" i="106" s="1"/>
  <c r="K173" i="5"/>
  <c r="K6" i="4" s="1"/>
  <c r="B3570" i="106" s="1"/>
  <c r="D3570" i="106" s="1"/>
  <c r="F94" i="34"/>
  <c r="B5096" i="106"/>
  <c r="D5096" i="106" s="1"/>
  <c r="J352" i="29"/>
  <c r="B4173" i="106"/>
  <c r="D4173" i="106" s="1"/>
  <c r="D69" i="36"/>
  <c r="B3670" i="106"/>
  <c r="D3670" i="106" s="1"/>
  <c r="K352" i="29"/>
  <c r="K13" i="4" s="1"/>
  <c r="B3572" i="106" s="1"/>
  <c r="D3572" i="106" s="1"/>
  <c r="B1410" i="106"/>
  <c r="D1410" i="106" s="1"/>
  <c r="B1329" i="106"/>
  <c r="D1329" i="106" s="1"/>
  <c r="F61" i="34"/>
  <c r="K24" i="12"/>
  <c r="C342" i="29"/>
  <c r="B7216" i="106" s="1"/>
  <c r="D7216" i="106" s="1"/>
  <c r="G352" i="29"/>
  <c r="F21" i="8"/>
  <c r="L367" i="29"/>
  <c r="L15" i="11"/>
  <c r="B3459" i="106" s="1"/>
  <c r="D3459" i="106" s="1"/>
  <c r="E174" i="29"/>
  <c r="B1309" i="106" s="1"/>
  <c r="D1309" i="106" s="1"/>
  <c r="D27" i="108"/>
  <c r="B2724" i="106"/>
  <c r="D2724" i="106" s="1"/>
  <c r="C172" i="5"/>
  <c r="B5214" i="106" s="1"/>
  <c r="D5214" i="106" s="1"/>
  <c r="C109" i="5"/>
  <c r="B5121" i="106" s="1"/>
  <c r="D5121" i="106" s="1"/>
  <c r="D54"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D274" i="5"/>
  <c r="B3447" i="106"/>
  <c r="D3447" i="106" s="1"/>
  <c r="D19" i="7"/>
  <c r="B1775" i="106" s="1"/>
  <c r="D1775" i="106" s="1"/>
  <c r="B7270" i="106"/>
  <c r="B5356" i="106" l="1"/>
  <c r="D5356" i="106" s="1"/>
  <c r="D4" i="4"/>
  <c r="B2564" i="106" s="1"/>
  <c r="D2564" i="106" s="1"/>
  <c r="B7733" i="106"/>
  <c r="D7733" i="106" s="1"/>
  <c r="K26" i="12"/>
  <c r="B7743" i="106" s="1"/>
  <c r="D7743" i="106" s="1"/>
  <c r="H367" i="29"/>
  <c r="B3660" i="106" s="1"/>
  <c r="D3660" i="106" s="1"/>
  <c r="B7242" i="106"/>
  <c r="D7242" i="106" s="1"/>
  <c r="B1879" i="106"/>
  <c r="D1879" i="106" s="1"/>
  <c r="H22" i="37"/>
  <c r="J367" i="29"/>
  <c r="B7245" i="106" s="1"/>
  <c r="D7245" i="106" s="1"/>
  <c r="B7235" i="106"/>
  <c r="D7235" i="106" s="1"/>
  <c r="B3621" i="106"/>
  <c r="D3621" i="106" s="1"/>
  <c r="C367" i="29"/>
  <c r="B3622" i="106" s="1"/>
  <c r="D3622" i="106" s="1"/>
  <c r="B6024" i="106"/>
  <c r="D6024" i="106" s="1"/>
  <c r="G4" i="4"/>
  <c r="B2603" i="106" s="1"/>
  <c r="D2603" i="106" s="1"/>
  <c r="B6025" i="106"/>
  <c r="D6025" i="106" s="1"/>
  <c r="H4" i="4"/>
  <c r="B3649" i="106"/>
  <c r="D3649" i="106" s="1"/>
  <c r="G367" i="29"/>
  <c r="B3650" i="106" s="1"/>
  <c r="D3650" i="106" s="1"/>
  <c r="B3568" i="106"/>
  <c r="D3568" i="106" s="1"/>
  <c r="D52" i="36"/>
  <c r="L16" i="11"/>
  <c r="B2061" i="106" s="1"/>
  <c r="D2061" i="106" s="1"/>
  <c r="L114" i="29"/>
  <c r="C114" i="29"/>
  <c r="B757" i="106" s="1"/>
  <c r="D757" i="106" s="1"/>
  <c r="C173" i="5"/>
  <c r="B5223" i="106" s="1"/>
  <c r="D522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F8" i="4" l="1"/>
  <c r="B2655" i="106"/>
  <c r="D2655" i="106" s="1"/>
  <c r="H8" i="4"/>
  <c r="B1145" i="106"/>
  <c r="D1145" i="106" s="1"/>
  <c r="G41" i="108"/>
  <c r="G44" i="108" s="1"/>
  <c r="G45" i="108" s="1"/>
  <c r="E41" i="108"/>
  <c r="E44" i="108" s="1"/>
  <c r="E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<sst xmlns="http://schemas.openxmlformats.org/spreadsheetml/2006/main" count="5168" uniqueCount="2156">
  <si>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</si>
  <si>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</si>
  <si>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</si>
  <si>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</si>
  <si>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</si>
  <si>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</si>
  <si>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</si>
  <si>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</si>
  <si>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</si>
  <si>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</si>
  <si>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</si>
  <si>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</si>
  <si>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</si>
  <si>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</si>
  <si>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</si>
  <si>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</si>
  <si>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</si>
  <si>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</si>
  <si>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</si>
  <si>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</si>
  <si>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</si>
  <si>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</si>
  <si>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</si>
  <si>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</si>
  <si>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</si>
  <si>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</si>
  <si>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</si>
  <si>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</si>
  <si>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</si>
  <si>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</si>
  <si>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</si>
  <si>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</si>
  <si>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</si>
  <si>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</si>
  <si>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</si>
  <si>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</si>
  <si>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</si>
  <si>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</si>
  <si>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</si>
  <si>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</si>
  <si>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</si>
  <si>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</si>
  <si>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</si>
  <si>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</si>
  <si>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</si>
  <si>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</si>
  <si>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</si>
  <si>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</si>
  <si>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</si>
  <si>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</si>
  <si>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</si>
  <si>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</si>
  <si>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</si>
  <si>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</si>
  <si>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</si>
  <si>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</si>
  <si>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</si>
  <si>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</si>
  <si>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</si>
  <si>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</si>
  <si>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</si>
  <si>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</si>
  <si>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</si>
  <si>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</si>
  <si>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</si>
  <si>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</si>
  <si>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</si>
  <si>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</si>
  <si>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</si>
  <si>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</si>
  <si>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</si>
  <si>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</si>
  <si>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</si>
  <si>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</si>
  <si>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</si>
  <si>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</si>
  <si>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</si>
  <si>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</si>
  <si>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</si>
  <si>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</si>
  <si>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</si>
  <si>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</si>
  <si>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</si>
  <si>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</si>
  <si>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</si>
  <si>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</si>
  <si>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</si>
  <si>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</si>
  <si>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</si>
  <si>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</si>
  <si>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</si>
  <si>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</si>
  <si>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</si>
  <si>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</si>
  <si>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</si>
  <si>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</si>
  <si>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</si>
  <si>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</si>
  <si>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</si>
  <si>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</si>
  <si>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</si>
  <si>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</si>
  <si>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</si>
  <si>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</si>
  <si>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</si>
  <si>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</si>
  <si>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</si>
  <si>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</si>
  <si>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</si>
  <si>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</si>
  <si>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</si>
  <si>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</si>
  <si>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</si>
  <si>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</si>
  <si>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</si>
  <si>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</si>
  <si>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</si>
  <si>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</si>
  <si>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</si>
  <si>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</si>
  <si>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</si>
  <si>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</si>
  <si>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</si>
  <si>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</si>
  <si>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</si>
  <si>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</si>
  <si>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</si>
  <si>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</si>
  <si>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</si>
  <si>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</si>
  <si>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</si>
  <si>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</si>
  <si>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</si>
  <si>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</si>
  <si>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</si>
  <si>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</si>
  <si>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</si>
  <si>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</si>
  <si>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</si>
  <si>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</si>
  <si>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</si>
  <si>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</si>
  <si>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</si>
  <si>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</si>
  <si>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</si>
  <si>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</si>
  <si>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</si>
  <si>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</si>
  <si>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</si>
  <si>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</si>
  <si>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</si>
  <si>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</si>
  <si>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</si>
  <si>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</si>
  <si>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</si>
  <si>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</si>
  <si>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</si>
  <si>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</si>
  <si>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</si>
  <si>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</si>
  <si>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</si>
  <si>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</si>
  <si>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</si>
  <si>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</si>
  <si>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</si>
  <si>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</si>
  <si>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</si>
  <si>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</si>
  <si>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</si>
  <si>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</si>
  <si>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</si>
  <si>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</si>
  <si>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</si>
  <si>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</si>
  <si>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</si>
  <si>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</si>
  <si>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</si>
  <si>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</si>
  <si>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</si>
  <si>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</si>
  <si>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</si>
  <si>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</si>
  <si>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</si>
  <si>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</si>
  <si>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</si>
  <si>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</si>
  <si>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</si>
  <si>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</si>
  <si>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</si>
  <si>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</si>
  <si>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</si>
  <si>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</si>
  <si>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</si>
  <si>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</si>
  <si>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</si>
  <si>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</si>
  <si>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</si>
  <si>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</si>
  <si>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</si>
  <si>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</si>
  <si>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</si>
  <si>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</si>
  <si>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</si>
  <si>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</si>
  <si>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</si>
  <si>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</si>
  <si>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</si>
  <si>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</si>
  <si>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</si>
  <si>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</si>
  <si>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</si>
  <si>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</si>
  <si>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</si>
  <si>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</si>
  <si>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</si>
  <si>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</si>
  <si>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</si>
  <si>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</si>
  <si>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</si>
  <si>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</si>
  <si>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</si>
  <si>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</si>
  <si>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</si>
  <si>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</si>
  <si>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</si>
  <si>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</si>
  <si>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</si>
  <si>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</si>
  <si>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</si>
  <si>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</si>
  <si>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</si>
  <si>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</si>
  <si>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</si>
  <si>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</si>
  <si>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</si>
  <si>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</si>
  <si>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</si>
  <si>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</si>
  <si>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</si>
  <si>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</si>
  <si>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</si>
  <si>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</si>
  <si>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</si>
  <si>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</si>
  <si>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</si>
  <si>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</si>
  <si>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</si>
  <si>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</si>
  <si>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</si>
  <si>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</si>
  <si>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</si>
  <si>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</si>
  <si>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</si>
  <si>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</si>
  <si>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</si>
  <si>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</si>
  <si>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</si>
  <si>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</si>
  <si>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</si>
  <si>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</si>
  <si>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</si>
  <si>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</si>
  <si>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</si>
  <si>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</si>
  <si>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</si>
  <si>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</si>
  <si>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</si>
  <si>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</si>
  <si>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</si>
  <si>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</si>
  <si>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</si>
  <si>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</si>
  <si>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</si>
  <si>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</si>
  <si>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</si>
  <si>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</si>
  <si>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</si>
  <si>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</si>
  <si>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</si>
  <si>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</si>
  <si>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</si>
  <si>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</si>
  <si>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</si>
  <si>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</si>
  <si>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</si>
  <si>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</si>
  <si>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</si>
  <si>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</si>
  <si>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</si>
  <si>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</si>
  <si>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</si>
  <si>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</si>
  <si>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</si>
  <si>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</si>
  <si>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</si>
  <si>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</si>
  <si>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</si>
  <si>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</si>
  <si>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</si>
  <si>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</si>
  <si>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</si>
  <si>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</si>
  <si>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</si>
  <si>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</si>
  <si>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</si>
  <si>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</si>
  <si>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</si>
  <si>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</si>
  <si>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</si>
  <si>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</si>
  <si>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</si>
  <si>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</si>
  <si>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</si>
  <si>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</si>
  <si>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</si>
  <si>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</si>
  <si>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</si>
  <si>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</si>
  <si>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</si>
  <si>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</si>
  <si>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</si>
  <si>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</si>
  <si>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</si>
  <si>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</si>
  <si>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</si>
  <si>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</si>
  <si>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</si>
  <si>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</si>
  <si>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</si>
  <si>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</si>
  <si>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</si>
  <si>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</si>
  <si>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</si>
  <si>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</si>
  <si>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</si>
  <si>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</si>
  <si>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</si>
  <si>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</si>
  <si>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</si>
  <si>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</si>
  <si>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</si>
  <si>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</si>
  <si>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</si>
  <si>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</si>
  <si>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</si>
  <si>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</si>
  <si>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</si>
  <si>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</si>
  <si>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</si>
  <si>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</si>
  <si>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</si>
  <si>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</si>
  <si>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</si>
  <si>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</si>
  <si>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</si>
  <si>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</si>
  <si>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</si>
  <si>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</si>
  <si>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</si>
  <si>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</si>
  <si>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</si>
  <si>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</si>
  <si>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</si>
  <si>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</si>
  <si>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</si>
  <si>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</si>
  <si>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</si>
  <si>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</si>
  <si>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</si>
  <si>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</si>
  <si>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</si>
  <si>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</si>
  <si>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</si>
  <si>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</si>
  <si>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</si>
  <si>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</si>
  <si>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</si>
  <si>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</si>
  <si>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</si>
  <si>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</si>
  <si>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</si>
  <si>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</si>
  <si>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</si>
  <si>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</si>
  <si>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</si>
  <si>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</si>
  <si>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</si>
  <si>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</si>
  <si>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</si>
  <si>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</si>
  <si>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</si>
  <si>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</si>
  <si>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</si>
  <si>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</si>
  <si>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</si>
  <si>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</si>
  <si>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</si>
  <si>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</si>
  <si>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</si>
  <si>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</si>
  <si>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</si>
  <si>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</si>
  <si>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</si>
  <si>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</si>
  <si>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</si>
  <si>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</si>
  <si>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</si>
  <si>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</si>
  <si>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</si>
  <si>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</si>
  <si>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</si>
  <si>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</si>
  <si>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</si>
  <si>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</si>
  <si>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</si>
  <si>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</si>
  <si>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</si>
  <si>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</si>
  <si>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</si>
  <si>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</si>
  <si>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</si>
  <si>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</si>
  <si>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</si>
  <si>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</si>
  <si>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</si>
  <si>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</si>
  <si>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</si>
  <si>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</si>
  <si>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</si>
  <si>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</si>
  <si>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</si>
  <si>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</si>
  <si>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</si>
  <si>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</si>
  <si>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</si>
  <si>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</si>
  <si>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</si>
  <si>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</si>
  <si>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</si>
  <si>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</si>
  <si>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</si>
  <si>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</si>
  <si>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</si>
  <si>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</si>
  <si>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</si>
  <si>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</si>
  <si>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</si>
  <si>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</si>
  <si>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</si>
  <si>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</si>
  <si>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</si>
  <si>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</si>
  <si>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</si>
  <si>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</si>
  <si>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</si>
  <si>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</si>
  <si>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</si>
  <si>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</si>
  <si>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</si>
  <si>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</si>
  <si>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</si>
  <si>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</si>
  <si>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</si>
  <si>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</si>
  <si>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</si>
  <si>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</si>
  <si>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</si>
  <si>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</si>
  <si>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</si>
  <si>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</si>
  <si>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</si>
  <si>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</si>
  <si>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</si>
  <si>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</si>
  <si>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</si>
  <si>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</si>
  <si>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</si>
  <si>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</si>
  <si>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</si>
  <si>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</si>
  <si>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</si>
  <si>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</si>
  <si>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</si>
  <si>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</si>
  <si>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</si>
  <si>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</si>
  <si>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</si>
  <si>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</si>
  <si>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</si>
  <si>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</si>
  <si>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</si>
  <si>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</si>
  <si>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</si>
  <si>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</si>
  <si>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</si>
  <si>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</si>
  <si>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</si>
  <si>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</si>
  <si>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</si>
  <si>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</si>
  <si>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</si>
  <si>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</si>
  <si>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</si>
  <si>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</si>
  <si>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</si>
  <si>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</si>
  <si>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</si>
  <si>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</si>
  <si>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</si>
  <si>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</si>
  <si>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</si>
  <si>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</si>
  <si>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</si>
  <si>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</si>
  <si>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</si>
  <si>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</si>
  <si>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</si>
  <si>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</si>
  <si>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</si>
  <si>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</si>
  <si>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</si>
  <si>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</si>
  <si>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</si>
  <si>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</si>
  <si>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</si>
  <si>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</si>
  <si>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</si>
  <si>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</si>
  <si>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</si>
  <si>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</si>
  <si>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</si>
  <si>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</si>
  <si>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</si>
  <si>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</si>
  <si>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</si>
  <si>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</si>
  <si>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</si>
  <si>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</si>
  <si>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</si>
  <si>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</si>
  <si>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</si>
  <si>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</si>
  <si>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</si>
  <si>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</si>
  <si>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</si>
  <si>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</si>
  <si>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</si>
  <si>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</si>
  <si>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</si>
  <si>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</si>
  <si>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</si>
  <si>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</si>
  <si>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</si>
  <si>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</si>
  <si>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</si>
  <si>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</si>
  <si>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</si>
  <si>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</si>
  <si>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</si>
  <si>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</si>
  <si>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</si>
  <si>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</si>
  <si>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</si>
  <si>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</si>
  <si>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</si>
  <si>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</si>
  <si>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</si>
  <si>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</si>
  <si>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</si>
  <si>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</si>
  <si>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</si>
  <si>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</si>
  <si>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</si>
  <si>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</si>
  <si>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</si>
  <si>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</si>
  <si>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</si>
  <si>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</si>
  <si>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</si>
  <si>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</si>
  <si>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</si>
  <si>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</si>
  <si>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</si>
  <si>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</si>
  <si>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</si>
  <si>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</si>
  <si>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</si>
  <si>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</si>
  <si>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</si>
  <si>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</si>
  <si>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</si>
  <si>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</si>
  <si>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</si>
  <si>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</si>
  <si>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</si>
  <si>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</si>
  <si>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</si>
  <si>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</si>
  <si>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</si>
  <si>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</si>
  <si>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</si>
  <si>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</si>
  <si>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</si>
  <si>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</si>
  <si>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</si>
  <si>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</si>
  <si>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</si>
  <si>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</si>
  <si>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</si>
  <si>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</si>
  <si>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</si>
  <si>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</si>
  <si>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</si>
  <si>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</si>
  <si>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</si>
  <si>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</si>
  <si>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</si>
  <si>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</si>
  <si>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</si>
  <si>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</si>
  <si>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</si>
  <si>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</si>
  <si>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</si>
  <si>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</si>
  <si>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</si>
  <si>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</si>
  <si>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</si>
  <si>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</si>
  <si>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</si>
  <si>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</si>
  <si>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</si>
  <si>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</si>
  <si>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</si>
  <si>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</si>
  <si>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</si>
  <si>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</si>
  <si>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</si>
  <si>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</si>
  <si>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</si>
  <si>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</si>
  <si>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</si>
  <si>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</si>
  <si>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</si>
  <si>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</si>
  <si>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</si>
  <si>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</si>
  <si>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</si>
  <si>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</si>
  <si>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</si>
  <si>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</si>
  <si>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</si>
  <si>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</si>
  <si>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</si>
  <si>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</si>
  <si>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</si>
  <si>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</si>
  <si>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</si>
  <si>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</si>
  <si>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</si>
  <si>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</si>
  <si>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</si>
  <si>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</si>
  <si>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</si>
  <si>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</si>
  <si>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</si>
  <si>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</si>
  <si>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</si>
  <si>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</si>
  <si>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</si>
  <si>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</si>
  <si>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</si>
  <si>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</si>
  <si>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</si>
  <si>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</si>
  <si>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</si>
  <si>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</si>
  <si>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</si>
  <si>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</si>
  <si>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</si>
  <si>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</si>
  <si>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</si>
  <si>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</si>
  <si>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</si>
  <si>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</si>
  <si>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</si>
  <si>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</si>
  <si>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</si>
  <si>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</si>
  <si>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</si>
  <si>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</si>
  <si>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</si>
  <si>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</si>
  <si>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</si>
  <si>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</si>
  <si>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</si>
  <si>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</si>
  <si>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</si>
  <si>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</si>
  <si>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</si>
  <si>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</si>
  <si>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</si>
  <si>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</si>
  <si>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</si>
  <si>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</si>
  <si>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</si>
  <si>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</si>
  <si>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</si>
  <si>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</si>
  <si>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</si>
  <si>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</si>
  <si>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</si>
  <si>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</si>
  <si>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</si>
  <si>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</si>
  <si>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</si>
  <si>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</si>
  <si>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</si>
  <si>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</si>
  <si>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</si>
  <si>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</si>
  <si>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</si>
  <si>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</si>
  <si>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</si>
  <si>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</si>
  <si>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</si>
  <si>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</si>
  <si>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</si>
  <si>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</si>
  <si>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</si>
  <si>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</si>
  <si>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</si>
  <si>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</si>
  <si>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</si>
  <si>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</si>
  <si>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</si>
  <si>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</si>
  <si>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</si>
  <si>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</si>
  <si>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</si>
  <si>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</si>
  <si>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</si>
  <si>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</si>
  <si>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</si>
  <si>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</si>
  <si>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</si>
  <si>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</si>
  <si>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</si>
  <si>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</si>
  <si>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</si>
  <si>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</si>
  <si>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</si>
  <si>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</si>
  <si>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</si>
  <si>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</si>
  <si>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</si>
  <si>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</si>
  <si>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</si>
  <si>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</si>
  <si>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</si>
  <si>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</si>
  <si>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</si>
  <si>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</si>
  <si>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</si>
  <si>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</si>
  <si>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</si>
  <si>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</si>
  <si>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</si>
  <si>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</si>
  <si>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</si>
  <si>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</si>
  <si>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</si>
  <si>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</si>
  <si>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</si>
  <si>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</si>
  <si>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</si>
  <si>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</si>
  <si>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</si>
  <si>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</si>
  <si>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</si>
  <si>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</si>
  <si>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</si>
  <si>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</si>
  <si>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</si>
  <si>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</si>
  <si>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</si>
  <si>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</si>
  <si>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</si>
  <si>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</si>
  <si>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</si>
  <si>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</si>
  <si>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</si>
  <si>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</si>
  <si>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</si>
  <si>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</si>
  <si>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</si>
  <si>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</si>
  <si>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</si>
  <si>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</si>
  <si>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</si>
  <si>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</si>
  <si>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</si>
  <si>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</si>
  <si>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</si>
  <si>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</si>
  <si>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</si>
  <si>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</si>
  <si>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</si>
  <si>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</si>
  <si>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</si>
  <si>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</si>
  <si>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</si>
  <si>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</si>
  <si>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</si>
  <si>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</si>
  <si>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</si>
  <si>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</si>
  <si>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</si>
  <si>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</si>
  <si>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</si>
  <si>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</si>
  <si>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</si>
  <si>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</si>
  <si>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</si>
  <si>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</si>
  <si>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</si>
  <si>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</si>
  <si>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</si>
  <si>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</si>
  <si>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</si>
  <si>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</si>
  <si>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</si>
  <si>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</si>
  <si>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</si>
  <si>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</si>
  <si>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</si>
  <si>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</si>
  <si>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</si>
  <si>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</si>
  <si>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</si>
  <si>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</si>
  <si>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</si>
  <si>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</si>
  <si>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</si>
  <si>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</si>
  <si>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</si>
  <si>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</si>
  <si>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</si>
  <si>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</si>
  <si>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</si>
  <si>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</si>
  <si>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</si>
  <si>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</si>
  <si>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</si>
  <si>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</si>
  <si>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</si>
  <si>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</si>
  <si>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</si>
  <si>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</si>
  <si>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</si>
  <si>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</si>
  <si>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</si>
  <si>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</si>
  <si>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</si>
  <si>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</si>
  <si>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</si>
  <si>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</si>
  <si>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</si>
  <si>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</si>
  <si>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</si>
  <si>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</si>
  <si>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</si>
  <si>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</si>
  <si>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</si>
  <si>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</si>
  <si>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</si>
  <si>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</si>
  <si>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</si>
  <si>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</si>
  <si>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</si>
  <si>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</si>
  <si>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</si>
  <si>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</si>
  <si>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</si>
  <si>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</si>
  <si>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</si>
  <si>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</si>
  <si>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</si>
  <si>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</si>
  <si>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</si>
  <si>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</si>
  <si>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</si>
  <si>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</si>
  <si>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</si>
  <si>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</si>
  <si>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</si>
  <si>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</si>
  <si>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</si>
  <si>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</si>
  <si>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</si>
  <si>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</si>
  <si>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</si>
  <si>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</si>
  <si>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</si>
  <si>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</si>
  <si>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</si>
  <si>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</si>
  <si>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</si>
  <si>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</si>
  <si>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</si>
  <si>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</si>
  <si>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</si>
  <si>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</si>
  <si>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</si>
  <si>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</si>
  <si>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</si>
  <si>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</si>
  <si>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</si>
  <si>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</si>
  <si>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</si>
  <si>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</si>
  <si>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</si>
  <si>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</si>
  <si>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</si>
  <si>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</si>
  <si>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</si>
  <si>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</si>
  <si>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</si>
  <si>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</si>
  <si>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</si>
  <si>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</si>
  <si>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</si>
  <si>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</si>
  <si>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</si>
  <si>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</si>
  <si>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</si>
  <si>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</si>
  <si>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</si>
  <si>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</si>
  <si>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</si>
  <si>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</si>
  <si>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</si>
  <si>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</si>
  <si>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</si>
  <si>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</si>
  <si>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</si>
  <si>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</si>
  <si>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</si>
  <si>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</si>
  <si>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</si>
  <si>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</si>
  <si>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</si>
  <si>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</si>
  <si>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</si>
  <si>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</si>
  <si>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</si>
  <si>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</si>
  <si>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</si>
  <si>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</si>
  <si>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</si>
  <si>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</si>
  <si>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</si>
  <si>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</si>
  <si>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</si>
  <si>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</si>
  <si>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</si>
  <si>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</si>
  <si>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</si>
  <si>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</si>
  <si>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</si>
  <si>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</si>
  <si>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</si>
  <si>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</si>
  <si>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</si>
  <si>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</si>
  <si>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</si>
  <si>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</si>
  <si>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</si>
  <si>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</si>
  <si>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</si>
  <si>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</si>
  <si>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</si>
  <si>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</si>
  <si>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</si>
  <si>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</si>
  <si>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</si>
  <si>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</si>
  <si>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</si>
  <si>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</si>
  <si>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</si>
  <si>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</si>
  <si>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</si>
  <si>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</si>
  <si>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</si>
  <si>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</si>
  <si>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</si>
  <si>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</si>
  <si>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</si>
  <si>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</si>
  <si>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</si>
  <si>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</si>
  <si>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</si>
  <si>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</si>
  <si>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</si>
  <si>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</si>
  <si>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</si>
  <si>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</si>
  <si>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</si>
  <si>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</si>
  <si>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</si>
  <si>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</si>
  <si>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</si>
  <si>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</si>
  <si>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</si>
  <si>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</si>
  <si>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</si>
  <si>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</si>
  <si>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</si>
  <si>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</si>
  <si>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</si>
  <si>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</si>
  <si>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</si>
  <si>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</si>
  <si>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</si>
  <si>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</si>
  <si>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</si>
  <si>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</si>
  <si>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</si>
  <si>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</si>
  <si>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</si>
  <si>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</si>
  <si>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</si>
  <si>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</si>
  <si>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</si>
  <si>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</si>
  <si>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</si>
  <si>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</si>
  <si>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</si>
  <si>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</si>
  <si>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</si>
  <si>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</si>
  <si>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</si>
  <si>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</si>
  <si>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</si>
  <si>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</si>
  <si>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</si>
  <si>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</si>
  <si>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</si>
  <si>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</si>
  <si>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</si>
  <si>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</si>
  <si>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</si>
  <si>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</si>
  <si>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</si>
  <si>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</si>
  <si>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</si>
  <si>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</si>
  <si>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</si>
  <si>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</si>
  <si>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</si>
  <si>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</si>
  <si>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</si>
  <si>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</si>
  <si>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</si>
  <si>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</si>
  <si>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</si>
  <si>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</si>
  <si>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</si>
  <si>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</si>
  <si>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</si>
  <si>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</si>
  <si>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</si>
  <si>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</si>
  <si>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</si>
  <si>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</si>
  <si>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</si>
  <si>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</si>
  <si>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</si>
  <si>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</si>
  <si>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</si>
  <si>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</si>
  <si>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</si>
  <si>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</si>
  <si>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</si>
  <si>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</si>
  <si>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</si>
  <si>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</si>
  <si>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</si>
  <si>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</si>
  <si>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</si>
  <si>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</si>
  <si>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</si>
  <si>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</si>
  <si>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</si>
  <si>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</si>
  <si>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</si>
  <si>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</si>
  <si>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</si>
  <si>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</si>
  <si>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</si>
  <si>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</si>
  <si>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</si>
  <si>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</si>
  <si>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</si>
  <si>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</si>
  <si>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</si>
  <si>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</si>
  <si>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</si>
  <si>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</si>
  <si>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</si>
  <si>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</si>
  <si>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</si>
  <si>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</si>
  <si>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</si>
  <si>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</si>
  <si>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</si>
  <si>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</si>
  <si>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</si>
  <si>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</si>
  <si>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</si>
  <si>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</si>
  <si>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</si>
  <si>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</si>
  <si>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</si>
  <si>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</si>
  <si>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</si>
  <si>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</si>
  <si>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</si>
  <si>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</si>
  <si>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</si>
  <si>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</si>
  <si>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</si>
  <si>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</si>
  <si>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</si>
  <si>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</si>
  <si>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</si>
  <si>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</si>
  <si>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</si>
  <si>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</si>
  <si>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</si>
  <si>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</si>
  <si>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</si>
  <si>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</si>
  <si>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</si>
  <si>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</si>
  <si>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</si>
  <si>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</si>
  <si>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</si>
  <si>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</si>
  <si>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</si>
  <si>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</si>
  <si>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</si>
  <si>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</si>
  <si>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</si>
  <si>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</si>
  <si>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</si>
  <si>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</si>
  <si>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</si>
  <si>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</si>
  <si>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</si>
  <si>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</si>
  <si>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</si>
  <si>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</si>
  <si>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</si>
  <si>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</si>
  <si>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</si>
  <si>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</si>
  <si>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</si>
  <si>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</si>
  <si>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</si>
  <si>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</si>
  <si>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</si>
  <si>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</si>
  <si>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</si>
  <si>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</si>
  <si>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</si>
  <si>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</si>
  <si>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</si>
  <si>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</si>
  <si>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</si>
  <si>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</si>
  <si>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</si>
  <si>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</si>
  <si>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</si>
  <si>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</si>
  <si>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</si>
  <si>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</si>
  <si>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</si>
  <si>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</si>
  <si>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</si>
  <si>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</si>
  <si>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</si>
  <si>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</si>
  <si>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</si>
  <si>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</si>
  <si>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</si>
  <si>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</si>
  <si>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</si>
  <si>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</si>
  <si>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</si>
  <si>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</si>
  <si>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</si>
  <si>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</si>
  <si>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</si>
  <si>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</si>
  <si>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</si>
  <si>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</si>
  <si>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</si>
  <si>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</si>
  <si>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</si>
  <si>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</si>
  <si>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</si>
  <si>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</si>
  <si>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</si>
  <si>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</si>
  <si>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</si>
  <si>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</si>
  <si>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</si>
  <si>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</si>
  <si>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</si>
  <si>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</si>
  <si>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</si>
  <si>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</si>
  <si>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</si>
  <si>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</si>
  <si>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</si>
  <si>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</si>
  <si>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</si>
  <si>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</si>
  <si>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</si>
  <si>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</si>
  <si>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</si>
  <si>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</si>
  <si>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</si>
  <si>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</si>
  <si>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</si>
  <si>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</si>
  <si>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</si>
  <si>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</si>
  <si>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</si>
  <si>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</si>
  <si>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</si>
  <si>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</si>
  <si>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</si>
  <si>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</si>
  <si>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</si>
  <si>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</si>
  <si>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</si>
  <si>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</si>
  <si>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</si>
  <si>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</si>
  <si>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</si>
  <si>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</si>
  <si>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</si>
  <si>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</si>
  <si>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</si>
  <si>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</si>
  <si>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</si>
  <si>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</si>
  <si>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</si>
  <si>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</si>
  <si>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</si>
  <si>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</si>
  <si>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</si>
  <si>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</si>
  <si>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</si>
  <si>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</si>
  <si>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</si>
  <si>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</si>
  <si>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</si>
  <si>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</si>
  <si>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</si>
  <si>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</si>
  <si>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</si>
  <si>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</si>
  <si>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</si>
  <si>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</si>
  <si>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</si>
  <si>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</si>
  <si>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</si>
  <si>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</si>
  <si>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</si>
  <si>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</si>
  <si>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</si>
  <si>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</si>
  <si>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</si>
  <si>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</si>
  <si>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</si>
  <si>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</si>
  <si>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</si>
  <si>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</si>
  <si>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</si>
  <si>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</si>
  <si>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</si>
  <si>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</si>
  <si>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</si>
  <si>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</si>
  <si>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</si>
  <si>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</si>
  <si>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</si>
  <si>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</si>
  <si>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</si>
  <si>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</si>
  <si>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</si>
  <si>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</si>
  <si>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</si>
  <si>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</si>
  <si>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</si>
  <si>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</si>
  <si>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</si>
  <si>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</si>
  <si>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</si>
  <si>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</si>
  <si>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</si>
  <si>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</si>
  <si>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</si>
  <si>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</si>
  <si>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</si>
  <si>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</si>
  <si>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</si>
  <si>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</si>
  <si>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</si>
  <si>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</si>
  <si>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</si>
  <si>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</si>
  <si>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</si>
  <si>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</si>
  <si>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</si>
  <si>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</si>
  <si>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</si>
  <si>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</si>
  <si>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</si>
  <si>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</si>
  <si>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</si>
  <si>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</si>
  <si>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</si>
  <si>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</si>
  <si>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</si>
  <si>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</si>
  <si>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</si>
  <si>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</si>
  <si>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</si>
  <si>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</si>
  <si>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</si>
  <si>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</si>
  <si>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</si>
  <si>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</si>
  <si>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</si>
  <si>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</si>
  <si>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</si>
  <si>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</si>
  <si>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</si>
  <si>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</si>
  <si>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</si>
  <si>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</si>
  <si>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</si>
  <si>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</si>
  <si>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</si>
  <si>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</si>
  <si>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</si>
  <si>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</si>
  <si>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</si>
  <si>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</si>
  <si>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</si>
  <si>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</si>
  <si>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</si>
  <si>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</si>
  <si>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</si>
  <si>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</si>
  <si>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</si>
  <si>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</si>
  <si>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</si>
  <si>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</si>
  <si>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</si>
  <si>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</si>
  <si>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</si>
  <si>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</si>
  <si>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</si>
  <si>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</si>
  <si>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</si>
  <si>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</si>
  <si>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</si>
  <si>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</si>
  <si>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</si>
  <si>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</si>
  <si>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</si>
  <si>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</si>
  <si>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</si>
  <si>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</si>
  <si>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</si>
  <si>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</si>
  <si>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</si>
  <si>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</si>
  <si>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</si>
  <si>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</si>
  <si>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</si>
  <si>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</si>
  <si>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</si>
  <si>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</si>
  <si>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</si>
  <si>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</si>
  <si>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</si>
  <si>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</si>
  <si>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</si>
  <si>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</si>
  <si>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</si>
  <si>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</si>
  <si>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</si>
  <si>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</si>
  <si>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</si>
  <si>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</si>
  <si>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</si>
  <si>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</si>
  <si>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</si>
  <si>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</si>
  <si>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</si>
  <si>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</si>
  <si>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</si>
  <si>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</si>
  <si>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</si>
  <si>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</si>
  <si>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</si>
  <si>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</si>
  <si>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</si>
  <si>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</si>
  <si>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</si>
  <si>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</si>
  <si>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</si>
  <si>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</si>
  <si>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</si>
  <si>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</si>
  <si>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</si>
  <si>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</si>
  <si>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</si>
  <si>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</si>
  <si>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</si>
  <si>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</si>
  <si>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</si>
  <si>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</si>
  <si>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</si>
  <si>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</si>
  <si>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</si>
  <si>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</si>
  <si>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</si>
  <si>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</si>
  <si>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</si>
  <si>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</si>
  <si>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</si>
  <si>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</si>
  <si>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</si>
  <si>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</si>
  <si>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</si>
  <si>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</si>
  <si>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</si>
  <si>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</si>
  <si>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</si>
  <si>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</si>
  <si>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</si>
  <si>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</si>
  <si>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</si>
  <si>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</si>
  <si>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</si>
  <si>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</si>
  <si>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</si>
  <si>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</si>
  <si>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</si>
  <si>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</si>
  <si>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</si>
  <si>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</si>
  <si>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</si>
  <si>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</si>
  <si>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</si>
  <si>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</si>
  <si>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</si>
  <si>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</si>
  <si>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</si>
  <si>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</si>
  <si>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</si>
  <si>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</si>
  <si>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</si>
  <si>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</si>
  <si>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</si>
  <si>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</si>
  <si>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</si>
  <si>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</si>
  <si>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</si>
  <si>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</si>
  <si>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</si>
  <si>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</si>
  <si>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</si>
  <si>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</si>
  <si>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</si>
  <si>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</si>
  <si>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</si>
  <si>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</si>
  <si>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</si>
  <si>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</si>
  <si>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</si>
  <si>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</si>
  <si>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</si>
  <si>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</si>
  <si>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</si>
  <si>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</si>
  <si>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</si>
  <si>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</si>
  <si>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</si>
  <si>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</si>
  <si>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</si>
  <si>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</si>
  <si>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</si>
  <si>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</si>
  <si>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</si>
  <si>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</si>
  <si>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</si>
  <si>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</si>
  <si>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</si>
  <si>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</si>
  <si>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</si>
  <si>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</si>
  <si>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</si>
  <si>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</si>
  <si>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</si>
  <si>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</si>
  <si>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</si>
  <si>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</si>
  <si>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</si>
  <si>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</si>
  <si>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</si>
  <si>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</si>
  <si>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</si>
  <si>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</si>
  <si>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</si>
  <si>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</si>
  <si>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</si>
  <si>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</si>
  <si>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</si>
  <si>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</si>
  <si>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</si>
  <si>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</si>
  <si>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</si>
  <si>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</si>
  <si>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</si>
  <si>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</si>
  <si>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</si>
  <si>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</si>
  <si>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</si>
  <si>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</si>
  <si>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</si>
  <si>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</si>
  <si>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</si>
  <si>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</si>
  <si>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</si>
  <si>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</si>
  <si>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</si>
  <si>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</si>
  <si>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</si>
  <si>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</si>
  <si>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</si>
  <si>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</si>
  <si>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</si>
  <si>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</si>
  <si>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</si>
  <si>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</si>
  <si>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</si>
  <si>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</si>
  <si>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</si>
  <si>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</si>
  <si>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</si>
  <si>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</si>
  <si>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</si>
  <si>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</si>
  <si>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</si>
  <si>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</si>
  <si>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</si>
  <si>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</si>
  <si>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</si>
  <si>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</si>
  <si>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</si>
  <si>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</si>
  <si>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</si>
  <si>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</si>
  <si>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</si>
  <si>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</si>
  <si>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</si>
  <si>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</si>
  <si>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</si>
  <si>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</si>
  <si>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</si>
  <si>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</si>
  <si>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</si>
  <si>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</si>
  <si>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</si>
  <si>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</si>
  <si>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</si>
  <si>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</si>
  <si>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</si>
  <si>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</si>
  <si>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</si>
  <si>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</si>
  <si>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</si>
  <si>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</si>
  <si>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</si>
  <si>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</si>
  <si>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</si>
  <si>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</si>
  <si>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</si>
  <si>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</si>
  <si>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</si>
  <si>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</si>
  <si>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</si>
  <si>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</si>
  <si>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</si>
  <si>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</si>
  <si>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</si>
  <si>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</si>
  <si>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</si>
  <si>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</si>
  <si>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</si>
  <si>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</si>
  <si>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</si>
  <si>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</si>
  <si>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</si>
  <si>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</si>
  <si>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</si>
  <si>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</si>
  <si>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</si>
  <si>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</si>
  <si>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</si>
  <si>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</si>
  <si>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</si>
  <si>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</si>
  <si>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</si>
  <si>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</si>
  <si>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</si>
  <si>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</si>
  <si>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</si>
  <si>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</si>
  <si>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</si>
  <si>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</si>
  <si>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</si>
  <si>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</si>
  <si>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</si>
  <si>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</si>
  <si>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</si>
  <si>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</si>
  <si>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</si>
  <si>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</si>
  <si>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</si>
  <si>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</si>
  <si>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</si>
  <si>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</si>
  <si>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</si>
  <si>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</si>
  <si>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</si>
  <si>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</si>
  <si>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</si>
  <si>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</si>
  <si>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</si>
  <si>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</si>
  <si>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</si>
  <si>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</si>
  <si>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</si>
  <si>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</si>
  <si>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</si>
  <si>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</si>
  <si>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</si>
  <si>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</si>
  <si>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</si>
  <si>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</si>
  <si>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</si>
  <si>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</si>
  <si>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</si>
  <si>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</si>
  <si>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</si>
  <si>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</si>
  <si>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</si>
  <si>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</si>
  <si>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</si>
  <si>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</si>
  <si>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</si>
  <si>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</si>
  <si>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</si>
  <si>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</si>
  <si>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</si>
  <si>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</si>
  <si>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</si>
  <si>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</si>
  <si>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</si>
  <si>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</si>
  <si>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</si>
  <si>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</si>
  <si>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</si>
  <si>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</si>
  <si>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</si>
  <si>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</si>
  <si>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</si>
  <si>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</si>
  <si>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</si>
  <si>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</si>
  <si>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</si>
  <si>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</si>
  <si>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</si>
  <si>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</si>
  <si>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</si>
  <si>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</si>
  <si>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</si>
  <si>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</si>
  <si>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</si>
  <si>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</si>
  <si>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</si>
  <si>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</si>
  <si>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</si>
  <si>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</si>
  <si>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</si>
  <si>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</si>
  <si>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</si>
  <si>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</si>
  <si>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</si>
  <si>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</si>
  <si>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</si>
  <si>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</si>
  <si>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</si>
  <si>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</si>
  <si>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</si>
  <si>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</si>
  <si>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</si>
  <si>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</si>
  <si>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</si>
  <si>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</si>
  <si>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</si>
  <si>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</si>
  <si>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</si>
  <si>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</si>
  <si>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</si>
  <si>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</si>
  <si>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</si>
  <si>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</si>
  <si>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</si>
  <si>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</si>
  <si>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</si>
  <si>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</si>
  <si>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</si>
  <si>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</si>
  <si>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</si>
  <si>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</si>
  <si>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</si>
  <si>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</si>
  <si>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</si>
  <si>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</si>
  <si>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</si>
  <si>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</si>
  <si>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</si>
  <si>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</si>
  <si>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</si>
  <si>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</si>
  <si>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</si>
  <si>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</si>
  <si>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</si>
  <si>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</si>
  <si>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</si>
  <si>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</si>
  <si>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</si>
  <si>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</si>
  <si>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</si>
  <si>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</si>
  <si>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</si>
  <si>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</si>
  <si>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</si>
  <si>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</si>
  <si>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</si>
  <si>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</si>
  <si>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</si>
  <si>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</si>
  <si>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</si>
  <si>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</si>
  <si>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</si>
  <si>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</si>
  <si>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</si>
  <si>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</si>
  <si>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</si>
  <si>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</si>
  <si>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</si>
  <si>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</si>
  <si>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</si>
  <si>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</si>
  <si>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</si>
  <si>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</si>
  <si>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</si>
  <si>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</si>
  <si>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</si>
  <si>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</si>
  <si>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</si>
  <si>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</si>
  <si>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</si>
  <si>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</si>
  <si>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</si>
  <si>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</si>
  <si>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</si>
  <si>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</si>
  <si>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</si>
  <si>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</si>
  <si>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</si>
  <si>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</si>
  <si>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</si>
  <si>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</si>
  <si>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</si>
  <si>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</si>
  <si>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</si>
  <si>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</si>
  <si>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</si>
  <si>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</si>
  <si>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</si>
  <si>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</si>
  <si>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</si>
  <si>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</si>
  <si>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</si>
  <si>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</si>
  <si>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</si>
  <si>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</si>
  <si>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</si>
  <si>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</si>
  <si>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</si>
  <si>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</si>
  <si>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</si>
  <si>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</si>
  <si>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</si>
  <si>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</si>
  <si>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</si>
  <si>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</si>
  <si>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</si>
  <si>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</si>
  <si>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</si>
  <si>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</si>
  <si>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</si>
  <si>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</si>
  <si>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</si>
  <si>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</si>
  <si>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</si>
  <si>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</si>
  <si>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</si>
  <si>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</si>
  <si>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</si>
  <si>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</si>
  <si>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</si>
  <si>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</si>
  <si>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</si>
  <si>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</si>
  <si>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</si>
  <si>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</si>
  <si>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</si>
  <si>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</si>
  <si>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</si>
  <si>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</si>
  <si>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</si>
  <si>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</si>
  <si>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</si>
  <si>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</si>
  <si>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</si>
  <si>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</si>
  <si>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</si>
  <si>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</si>
  <si>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</si>
  <si>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</si>
  <si>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</si>
  <si>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</si>
  <si>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</si>
  <si>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</si>
  <si>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</si>
  <si>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</si>
  <si>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</si>
  <si>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</si>
  <si>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</si>
  <si>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</si>
  <si>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</si>
  <si>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</si>
  <si>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</si>
  <si>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</si>
  <si>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</si>
  <si>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</si>
  <si>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</si>
  <si>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</si>
  <si>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</si>
  <si>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</si>
  <si>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</si>
  <si>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</si>
  <si>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</si>
  <si>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</si>
  <si>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</si>
  <si>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</si>
  <si>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</si>
  <si>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</si>
  <si>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</si>
  <si>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</si>
  <si>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</si>
  <si>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</si>
  <si>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</si>
  <si>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</si>
  <si>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</si>
  <si>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</si>
  <si>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</si>
  <si>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</si>
  <si>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</si>
  <si>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</si>
  <si>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</si>
  <si>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</si>
  <si>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</si>
  <si>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</si>
  <si>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</si>
  <si>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</si>
  <si>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</si>
  <si>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</si>
  <si>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</si>
  <si>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</si>
  <si>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</si>
  <si>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</si>
  <si>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</si>
  <si>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</si>
  <si>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</si>
  <si>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</si>
  <si>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</si>
  <si>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</si>
  <si>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</si>
  <si>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</si>
  <si>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</si>
  <si>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</si>
  <si>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</si>
  <si>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</si>
  <si>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</si>
  <si>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</si>
  <si>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</si>
  <si>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</si>
  <si>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</si>
  <si>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</si>
  <si>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</si>
  <si>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</si>
  <si>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</si>
  <si>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</si>
  <si>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</si>
  <si>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</si>
  <si>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</si>
  <si>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</si>
  <si>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</si>
  <si>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</si>
  <si>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</si>
  <si>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</si>
  <si>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</si>
  <si>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</si>
  <si>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</si>
  <si>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</si>
  <si>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</si>
  <si>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</si>
  <si>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</si>
  <si>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</si>
  <si>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</si>
  <si>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</si>
  <si>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</si>
  <si>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</si>
  <si>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</si>
  <si>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</si>
  <si>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</si>
  <si>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</si>
  <si>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</si>
  <si>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</si>
  <si>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</si>
  <si>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</si>
  <si>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</si>
  <si>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</si>
  <si>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</si>
  <si>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</si>
  <si>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</si>
  <si>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</si>
  <si>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</si>
  <si>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</si>
  <si>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</si>
  <si>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</si>
  <si>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</si>
  <si>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</si>
  <si>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</si>
  <si>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</si>
  <si>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</si>
  <si>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</si>
  <si>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</si>
  <si>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</si>
  <si>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</si>
  <si>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</si>
  <si>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</si>
  <si>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</si>
  <si>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</si>
  <si>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</si>
  <si>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</si>
  <si>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</si>
  <si>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</si>
  <si>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</si>
  <si>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</si>
  <si>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</si>
  <si>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</si>
  <si>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</si>
  <si>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</si>
  <si>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</si>
  <si>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</si>
  <si>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</si>
  <si>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</si>
  <si>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</si>
  <si>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</si>
  <si>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</si>
  <si>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</si>
  <si>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</si>
  <si>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</si>
  <si>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</si>
  <si>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</si>
  <si>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</si>
  <si>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</si>
  <si>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</si>
  <si>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</si>
  <si>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</si>
  <si>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</si>
  <si>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</si>
  <si>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</si>
  <si>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</si>
  <si>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</si>
  <si>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</si>
  <si>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</si>
  <si>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</si>
  <si>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</si>
  <si>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</si>
  <si>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</si>
  <si>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</si>
  <si>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</si>
  <si>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</si>
  <si>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</si>
  <si>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</si>
  <si>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</si>
  <si>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</si>
  <si>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</si>
  <si>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</si>
  <si>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</si>
  <si>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</si>
  <si>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</si>
  <si>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</si>
  <si>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</si>
  <si>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</si>
  <si>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</si>
  <si>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</si>
  <si>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</si>
  <si>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</si>
  <si>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</si>
  <si>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</si>
  <si>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</si>
  <si>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</si>
  <si>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</si>
  <si>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</si>
  <si>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</si>
  <si>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</si>
  <si>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</si>
  <si>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</si>
  <si>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</si>
  <si>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</si>
  <si>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</si>
  <si>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</si>
  <si>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</si>
  <si>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</si>
  <si>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</si>
  <si>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</si>
  <si>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</si>
  <si>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</si>
  <si>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</si>
  <si>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</si>
  <si>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</si>
  <si>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</si>
  <si>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</si>
  <si>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</si>
  <si>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</si>
  <si>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</si>
  <si>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</si>
  <si>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</si>
  <si>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</si>
  <si>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LASALLE</t>
  </si>
  <si>
    <t>1009 BOYCE MEMORIAL DRIVE</t>
  </si>
  <si>
    <t>OTTAWA</t>
  </si>
  <si>
    <t>kparzgnat@lease-sped.org</t>
  </si>
  <si>
    <t>MARY JANE CHAPMAN</t>
  </si>
  <si>
    <t>mchapman@lease-sped.org</t>
  </si>
  <si>
    <t>815-433-6433</t>
  </si>
  <si>
    <t>815-433-6164</t>
  </si>
  <si>
    <t>MACK &amp; ASSOCIATES, P.C.</t>
  </si>
  <si>
    <t>TAWNYA MACK, CPA</t>
  </si>
  <si>
    <t xml:space="preserve">116 E WASHINGTON ST., SUITE ONE </t>
  </si>
  <si>
    <t>MORRIS</t>
  </si>
  <si>
    <t>IL</t>
  </si>
  <si>
    <t>815-942-3306</t>
  </si>
  <si>
    <t>815-942-9430</t>
  </si>
  <si>
    <t>066-005100</t>
  </si>
  <si>
    <t>tmack@mackcpas.com</t>
  </si>
  <si>
    <t>Mack &amp; Associates, P.C.</t>
  </si>
  <si>
    <t>PDF in Opinion Page with signature</t>
  </si>
  <si>
    <t>x</t>
  </si>
  <si>
    <t>PSIC</t>
  </si>
  <si>
    <t>LEASE is a Special Ed cooperative.  Participating districts include:</t>
  </si>
  <si>
    <t xml:space="preserve">Leland Comm unit #1L; LaSalle Co CU #2, Earlville CU #9; Streator ESD #44; Allen Twp D #65; Tonica CCSD #79; Deer Park CCSD #82; Grand Ridge CCSD #95; </t>
  </si>
  <si>
    <t>LP HSD #120; LaSalle ESD #122; Peru CCSD #124; Oglesby D #125; Ottawa HSD #140; Ottawa ESD #141; Marseilles ESD #150; Seneca HSD #160; Seneca CCSD #170; Dimmick CCSD #175;</t>
  </si>
  <si>
    <t>Waltham CCSD #185; Wallace CCSD #195; Miller Twp CCSD #210; Rutland CCSD #230; Mendota HSD #289; Mendota ESD #289; Lostant CCSD #425; Putnam Co CUSD #535</t>
  </si>
  <si>
    <t>Page 11, Line 107, Educational Fund - Miscellaneous receipts, Retiree insurance, CBS, Audio receipts</t>
  </si>
  <si>
    <t>Page 11, Line 130, Educational Fund - Illinois Department of Public Health Grant (26,670), Early Intervention Grant ($573)</t>
  </si>
  <si>
    <t>Page 11, Line 106, Educational Fund - LEASE Miscellaneous reimbursement, CBS, VSN and other Miscellaneous reimbursements</t>
  </si>
  <si>
    <t>Medicaid Fee for Service Flow-Through included in 2200 above:</t>
  </si>
  <si>
    <r>
      <t xml:space="preserve">The accompanying Schedule of Expenditures of Federal Awards includes the federal grant activity of </t>
    </r>
    <r>
      <rPr>
        <b/>
        <sz val="9"/>
        <rFont val="Calibri"/>
        <family val="2"/>
        <scheme val="minor"/>
      </rPr>
      <t>L.E.A.S.E.</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General-Purpose </t>
    </r>
    <r>
      <rPr>
        <sz val="9"/>
        <rFont val="Calibri"/>
        <family val="2"/>
        <scheme val="minor"/>
      </rPr>
      <t>financial statements.</t>
    </r>
  </si>
  <si>
    <r>
      <t xml:space="preserve">Of the federal expenditures presented in the schedule, </t>
    </r>
    <r>
      <rPr>
        <b/>
        <sz val="9"/>
        <rFont val="Calibri"/>
        <family val="2"/>
        <scheme val="minor"/>
      </rPr>
      <t>L.E.A.S.E.</t>
    </r>
    <r>
      <rPr>
        <sz val="9"/>
        <rFont val="Calibri"/>
        <family val="2"/>
        <scheme val="minor"/>
      </rPr>
      <t xml:space="preserve"> provided federal awards to subrecipients as follows:</t>
    </r>
  </si>
  <si>
    <t>See Page 39 of audit PDF in Opinion Page</t>
  </si>
  <si>
    <t>84.027A</t>
  </si>
  <si>
    <r>
      <t xml:space="preserve">The following amounts were expended in the form of non-cash assistance by </t>
    </r>
    <r>
      <rPr>
        <b/>
        <sz val="9"/>
        <rFont val="Calibri"/>
        <family val="2"/>
        <scheme val="minor"/>
      </rPr>
      <t>L.E.A.S.E.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</si>
  <si>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EDUCATION:</t>
  </si>
  <si>
    <t xml:space="preserve">  PASSED THROUGH ISBE:</t>
  </si>
  <si>
    <t xml:space="preserve">    SPECIAL ED - PRESCHOOL FLOW-THRU 17 (M)</t>
  </si>
  <si>
    <t>84.137A</t>
  </si>
  <si>
    <t>2017-4600</t>
  </si>
  <si>
    <t xml:space="preserve">    SPECIAL ED - PRESCHOOL FLOW-THRU 18 (M)</t>
  </si>
  <si>
    <t>2018-4600</t>
  </si>
  <si>
    <t>2017-4620</t>
  </si>
  <si>
    <t xml:space="preserve">    IDEA - FLOW-THRU 17 (M)</t>
  </si>
  <si>
    <t xml:space="preserve">    IDEA - FLOW-THRU 18 (M)</t>
  </si>
  <si>
    <t>2018-4620</t>
  </si>
  <si>
    <t>TOTAL US DEPARTMENT OF EDUCATION</t>
  </si>
  <si>
    <t>US DEPARTMENT OF AGRICULTURE:</t>
  </si>
  <si>
    <t xml:space="preserve">    NATIONAL SCHOOL LUNCH PROGRAM 17</t>
  </si>
  <si>
    <t>2017-4210</t>
  </si>
  <si>
    <t>N/A</t>
  </si>
  <si>
    <t xml:space="preserve">    NATIONAL SCHOOL LUNCH PROGRAM 18</t>
  </si>
  <si>
    <t>2018-4210</t>
  </si>
  <si>
    <t xml:space="preserve">    COMMODITY CREDIT</t>
  </si>
  <si>
    <t>2017-4220</t>
  </si>
  <si>
    <t xml:space="preserve">    SCHOOL BREAKFAST PROGRAM 17</t>
  </si>
  <si>
    <t xml:space="preserve">    SCHOOL BREAKFAST PROGRAM 18</t>
  </si>
  <si>
    <t>TOTAL US DEPARTMENT OF AGRICULTURE</t>
  </si>
  <si>
    <t>US DEPARTMENT OF HEALTH AND HUMAN SERVICES:</t>
  </si>
  <si>
    <t xml:space="preserve">  PASSED THROUGH IL DHCFS:</t>
  </si>
  <si>
    <t xml:space="preserve">    MEDICAL ASSISTANCE PROGRAM 17</t>
  </si>
  <si>
    <t>2017-4991</t>
  </si>
  <si>
    <t xml:space="preserve">    MEDICAL ASSISTANCE PROGRAM 18</t>
  </si>
  <si>
    <t>2018-4991</t>
  </si>
  <si>
    <t>TOTAL US DEPARTMENT OF HEALTH AND HUMAN SERVICES</t>
  </si>
  <si>
    <t>TOTAL FEDERAL AWARDS</t>
  </si>
  <si>
    <t>2018-4250</t>
  </si>
  <si>
    <t>2018-4220</t>
  </si>
  <si>
    <t>ADVERSE</t>
  </si>
  <si>
    <t>UNMODIFIED</t>
  </si>
  <si>
    <t>81.173A; 84.027A</t>
  </si>
  <si>
    <t>SPECIAL EDUCATION (IDEA) CLUSTER</t>
  </si>
  <si>
    <t>NONE</t>
  </si>
  <si>
    <t>ED - FISCAL SERVICES - PURCHASED SERVICES</t>
  </si>
  <si>
    <t>10-2520-300</t>
  </si>
  <si>
    <t>POWER SCHOOL GROUP, LLC.</t>
  </si>
  <si>
    <t>SPECIALIZED DATA SYSTEMS INC.</t>
  </si>
  <si>
    <t>ED - DATA PROCESSING - PURCHASED SERVICES</t>
  </si>
  <si>
    <t>10-2660-300</t>
  </si>
  <si>
    <t>RELIABLE COMPUTER SERVICE</t>
  </si>
  <si>
    <t>BRECHT'S DATABASE SOLUTIONS, INC</t>
  </si>
  <si>
    <t>LaSalle Putnam Alliance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</si>
</sst>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742950</xdr:colOff>
          <xdr:row>4</xdr:row>
          <xdr:rowOff>57150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742950</xdr:colOff>
          <xdr:row>8</xdr:row>
          <xdr:rowOff>57150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742950</xdr:colOff>
          <xdr:row>12</xdr:row>
          <xdr:rowOff>57150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742950</xdr:colOff>
          <xdr:row>15</xdr:row>
          <xdr:rowOff>219075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c r="C5" s="26" t="s">
        <v>966</v>
      </c>
      <c r="D5" s="84"/>
      <c r="E5" s="84"/>
      <c r="H5" s="38"/>
      <c r="I5" s="2011" t="s">
        <v>701</v>
      </c>
      <c r="J5" s="2010"/>
      <c r="K5" s="2010"/>
      <c r="L5" s="2010"/>
      <c r="M5" s="2010"/>
      <c r="N5" s="2010"/>
      <c r="O5" s="2010"/>
      <c r="P5" s="2010"/>
      <c r="Q5" s="2010"/>
      <c r="R5" s="2010"/>
      <c r="S5" s="2010"/>
    </row>
    <row r="6" spans="1:28" ht="14.1" customHeight="1" x14ac:dyDescent="0.2">
      <c r="B6" s="104" t="s">
        <v>2074</v>
      </c>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2074</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35050000061</v>
      </c>
      <c r="B13" s="2037"/>
      <c r="C13" s="2037"/>
      <c r="D13" s="2037"/>
      <c r="E13" s="2037"/>
      <c r="F13" s="2037"/>
      <c r="G13" s="2037"/>
      <c r="H13" s="2038"/>
      <c r="I13" s="31"/>
      <c r="J13" s="30"/>
      <c r="K13" s="28"/>
      <c r="L13" s="30"/>
      <c r="M13" s="30"/>
      <c r="N13" s="30"/>
      <c r="O13" s="30"/>
      <c r="P13" s="30"/>
      <c r="Q13" s="30"/>
      <c r="R13" s="30"/>
      <c r="S13" s="30"/>
      <c r="T13" s="2041" t="s">
        <v>2083</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2075</v>
      </c>
      <c r="B15" s="2039"/>
      <c r="C15" s="2039"/>
      <c r="D15" s="2039"/>
      <c r="E15" s="2039"/>
      <c r="F15" s="2039"/>
      <c r="G15" s="2039"/>
      <c r="H15" s="2040"/>
      <c r="T15" s="2045" t="s">
        <v>2084</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2155</v>
      </c>
      <c r="B17" s="1996"/>
      <c r="C17" s="1996"/>
      <c r="D17" s="1996"/>
      <c r="E17" s="1996"/>
      <c r="F17" s="1996"/>
      <c r="G17" s="1996"/>
      <c r="H17" s="2021"/>
      <c r="T17" s="2052" t="s">
        <v>2085</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2076</v>
      </c>
      <c r="B19" s="1981"/>
      <c r="C19" s="1981"/>
      <c r="D19" s="1981"/>
      <c r="E19" s="1981"/>
      <c r="F19" s="1981"/>
      <c r="G19" s="1981"/>
      <c r="H19" s="1961"/>
      <c r="I19" s="30"/>
      <c r="J19" s="99"/>
      <c r="K19" s="40"/>
      <c r="L19" s="38"/>
      <c r="M19" s="112" t="s">
        <v>333</v>
      </c>
      <c r="P19" s="27"/>
      <c r="Q19" s="27"/>
      <c r="R19" s="27"/>
      <c r="S19" s="31"/>
      <c r="T19" s="2035" t="s">
        <v>2086</v>
      </c>
      <c r="U19" s="1960"/>
      <c r="V19" s="1960"/>
      <c r="W19" s="1961"/>
      <c r="X19" s="2050" t="s">
        <v>2087</v>
      </c>
      <c r="Y19" s="2051"/>
      <c r="Z19" s="2048">
        <v>60450</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2077</v>
      </c>
      <c r="B21" s="1960"/>
      <c r="C21" s="1960"/>
      <c r="D21" s="1960"/>
      <c r="E21" s="1960"/>
      <c r="F21" s="1960"/>
      <c r="G21" s="1960"/>
      <c r="H21" s="1961"/>
      <c r="I21" s="2015" t="s">
        <v>699</v>
      </c>
      <c r="J21" s="2010"/>
      <c r="K21" s="2010"/>
      <c r="L21" s="2010"/>
      <c r="M21" s="2010"/>
      <c r="N21" s="2010"/>
      <c r="O21" s="2010"/>
      <c r="P21" s="2010"/>
      <c r="Q21" s="2010"/>
      <c r="R21" s="2010"/>
      <c r="S21" s="2016"/>
      <c r="T21" s="2059" t="s">
        <v>2088</v>
      </c>
      <c r="U21" s="2060"/>
      <c r="V21" s="2060"/>
      <c r="W21" s="2060"/>
      <c r="X21" s="2065" t="s">
        <v>2089</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2078</v>
      </c>
      <c r="B23" s="2013"/>
      <c r="C23" s="2013"/>
      <c r="D23" s="2013"/>
      <c r="E23" s="2013"/>
      <c r="F23" s="2013"/>
      <c r="G23" s="2013"/>
      <c r="H23" s="2014"/>
      <c r="T23" s="1995" t="s">
        <v>2090</v>
      </c>
      <c r="U23" s="2058"/>
      <c r="V23" s="2058"/>
      <c r="W23" s="2058"/>
      <c r="X23" s="2062">
        <v>43434</v>
      </c>
      <c r="Y23" s="2063"/>
      <c r="Z23" s="2063"/>
      <c r="AA23" s="2064"/>
    </row>
    <row r="24" spans="1:27" ht="14.1" customHeight="1" x14ac:dyDescent="0.2">
      <c r="A24" s="88" t="s">
        <v>698</v>
      </c>
      <c r="B24" s="49"/>
      <c r="C24" s="49"/>
      <c r="D24" s="49"/>
      <c r="E24" s="49"/>
      <c r="F24" s="49"/>
      <c r="G24" s="49"/>
      <c r="H24" s="61"/>
      <c r="J24" s="1982" t="str">
        <f>IF(B5="x",IF(AUDITCHECK!D29="AFR form Incomplete.","",IF(AUDITCHECK!D29="Deficit reduction plan is required.","School District must complete a deficit reduction plan in the 2018-2019 Budget",)),"")</f>
        <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61350</v>
      </c>
      <c r="B25" s="1960"/>
      <c r="C25" s="1960"/>
      <c r="D25" s="1960"/>
      <c r="E25" s="1960"/>
      <c r="F25" s="1960"/>
      <c r="G25" s="1960"/>
      <c r="H25" s="1961"/>
      <c r="I25" s="113"/>
      <c r="J25" s="1984"/>
      <c r="K25" s="1984"/>
      <c r="L25" s="1984"/>
      <c r="M25" s="1984"/>
      <c r="N25" s="1984"/>
      <c r="O25" s="1984"/>
      <c r="P25" s="1984"/>
      <c r="Q25" s="1984"/>
      <c r="R25" s="1984"/>
      <c r="S25" s="1985"/>
      <c r="T25" s="2055" t="s">
        <v>2091</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2079</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2080</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2081</v>
      </c>
      <c r="B42" s="1979"/>
      <c r="C42" s="1980"/>
      <c r="D42" s="1978" t="s">
        <v>2082</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1902</v>
      </c>
      <c r="B2" s="1550" t="s">
        <v>2032</v>
      </c>
      <c r="C2" s="715" t="s">
        <v>1907</v>
      </c>
      <c r="D2" s="715" t="s">
        <v>1908</v>
      </c>
      <c r="E2" s="715" t="s">
        <v>1909</v>
      </c>
      <c r="F2" s="715" t="s">
        <v>1910</v>
      </c>
    </row>
    <row r="3" spans="1:6" ht="12" customHeight="1" x14ac:dyDescent="0.2">
      <c r="A3" s="2202"/>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1902</v>
      </c>
      <c r="B2" s="2229"/>
      <c r="C2" s="1909" t="s">
        <v>2033</v>
      </c>
      <c r="D2" s="724" t="s">
        <v>2040</v>
      </c>
      <c r="E2" s="724" t="s">
        <v>2041</v>
      </c>
      <c r="F2" s="1909" t="s">
        <v>2034</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2035</v>
      </c>
      <c r="F30" s="1910" t="s">
        <v>2036</v>
      </c>
      <c r="G30" s="1910" t="s">
        <v>2039</v>
      </c>
      <c r="H30" s="1910" t="s">
        <v>2037</v>
      </c>
      <c r="I30" s="1910" t="s">
        <v>2038</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1916</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1917</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1913</v>
      </c>
      <c r="B19" s="2244"/>
      <c r="C19" s="2244"/>
      <c r="D19" s="2244"/>
      <c r="E19" s="2245"/>
      <c r="F19" s="790" t="s">
        <v>990</v>
      </c>
      <c r="G19" s="783"/>
      <c r="H19" s="783"/>
      <c r="I19" s="783"/>
      <c r="J19" s="766"/>
      <c r="K19" s="796"/>
    </row>
    <row r="20" spans="1:11" x14ac:dyDescent="0.2">
      <c r="A20" s="2246" t="s">
        <v>1918</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1919</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2021</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2031</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2030</v>
      </c>
      <c r="B1" s="2272"/>
      <c r="C1" s="2273"/>
      <c r="D1" s="827"/>
      <c r="E1" s="828"/>
      <c r="F1" s="828"/>
      <c r="G1" s="829"/>
      <c r="H1" s="830"/>
      <c r="I1" s="831"/>
      <c r="J1" s="2269"/>
      <c r="K1" s="2270"/>
      <c r="L1" s="2270"/>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35000</v>
      </c>
      <c r="D5" s="842"/>
      <c r="E5" s="842"/>
      <c r="F5" s="1782">
        <f>(C5+D5)-E5</f>
        <v>35000</v>
      </c>
      <c r="G5" s="838"/>
      <c r="H5" s="843"/>
      <c r="I5" s="843"/>
      <c r="J5" s="843"/>
      <c r="K5" s="794"/>
      <c r="L5" s="1791">
        <f>F5-K5</f>
        <v>35000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2311384</v>
      </c>
      <c r="D8" s="845"/>
      <c r="E8" s="845"/>
      <c r="F8" s="1782">
        <f>(C8+D8)-E8</f>
        <v>2311384</v>
      </c>
      <c r="G8" s="844">
        <v>50</v>
      </c>
      <c r="H8" s="766">
        <v>467669</v>
      </c>
      <c r="I8" s="766">
        <v>51867</v>
      </c>
      <c r="J8" s="766"/>
      <c r="K8" s="1791">
        <f>(H8+I8)-J8</f>
        <v>519536</v>
      </c>
      <c r="L8" s="1791">
        <f>F8-K8</f>
        <v>1791848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297896</v>
      </c>
      <c r="D12" s="845">
        <f>1650+2099</f>
        <v>3749</v>
      </c>
      <c r="E12" s="845"/>
      <c r="F12" s="1782">
        <f>(C12+D12)-E12</f>
        <v>301645</v>
      </c>
      <c r="G12" s="844">
        <v>10</v>
      </c>
      <c r="H12" s="766">
        <v>199962</v>
      </c>
      <c r="I12" s="766">
        <v>27449</v>
      </c>
      <c r="J12" s="766"/>
      <c r="K12" s="1791">
        <f>(H12+I12)-J12</f>
        <v>227411</v>
      </c>
      <c r="L12" s="1791">
        <f>F12-K12</f>
        <v>74234</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v>114442</v>
      </c>
      <c r="D14" s="766"/>
      <c r="E14" s="766"/>
      <c r="F14" s="1782">
        <f>(C14+D14)-E14</f>
        <v>114442</v>
      </c>
      <c r="G14" s="844">
        <v>3</v>
      </c>
      <c r="H14" s="766">
        <f>100741+1395</f>
        <v>102136</v>
      </c>
      <c r="I14" s="766">
        <f>11934+195-2</f>
        <v>12127</v>
      </c>
      <c r="J14" s="766"/>
      <c r="K14" s="1791">
        <f>(H14+I14)-J14</f>
        <v>114263</v>
      </c>
      <c r="L14" s="1791">
        <f>F14-K14</f>
        <v>179</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2758722</v>
      </c>
      <c r="D16" s="1782">
        <f>SUM(D3,D5:D6,D8:D10,D12:D15)</f>
        <v>3749</v>
      </c>
      <c r="E16" s="1782">
        <f>SUM(E3,E5:E6,E8:E10,E12:E15)</f>
        <v>0</v>
      </c>
      <c r="F16" s="1782">
        <f>SUM(F3,F5:F6,F8:F10,F12:F15)</f>
        <v>2762471</v>
      </c>
      <c r="G16" s="844"/>
      <c r="H16" s="1782">
        <f>SUM(H3,H6,H8:H10,H12:H14,)</f>
        <v>769767</v>
      </c>
      <c r="I16" s="1782">
        <f>SUM(I3,I6,I8:I10,I12:I14,)</f>
        <v>91443</v>
      </c>
      <c r="J16" s="1782">
        <f>SUM(J3,J6,J8:J10,J12:J14,)</f>
        <v>0</v>
      </c>
      <c r="K16" s="1782">
        <f>(H16+I16)-J16</f>
        <v>861210</v>
      </c>
      <c r="L16" s="1782">
        <f>F16-K16</f>
        <v>1901261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91443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9468991</v>
      </c>
      <c r="G8" s="866"/>
    </row>
    <row r="9" spans="1:7" x14ac:dyDescent="0.2">
      <c r="A9" s="870" t="s">
        <v>480</v>
      </c>
      <c r="B9" s="871" t="s">
        <v>1985</v>
      </c>
      <c r="C9" s="872"/>
      <c r="D9" s="870" t="s">
        <v>522</v>
      </c>
      <c r="E9" s="869"/>
      <c r="F9" s="1935">
        <f>'Expenditures 15-22'!K151</f>
        <v>0</v>
      </c>
      <c r="G9" s="873"/>
    </row>
    <row r="10" spans="1:7" x14ac:dyDescent="0.2">
      <c r="A10" s="870" t="s">
        <v>520</v>
      </c>
      <c r="B10" s="871" t="s">
        <v>1986</v>
      </c>
      <c r="C10" s="872"/>
      <c r="D10" s="870" t="s">
        <v>522</v>
      </c>
      <c r="E10" s="869"/>
      <c r="F10" s="1935">
        <f>'Expenditures 15-22'!K174</f>
        <v>0</v>
      </c>
      <c r="G10" s="873"/>
    </row>
    <row r="11" spans="1:7" x14ac:dyDescent="0.2">
      <c r="A11" s="870" t="s">
        <v>481</v>
      </c>
      <c r="B11" s="871" t="s">
        <v>1987</v>
      </c>
      <c r="C11" s="872"/>
      <c r="D11" s="870" t="s">
        <v>522</v>
      </c>
      <c r="E11" s="869"/>
      <c r="F11" s="1935">
        <f>'Expenditures 15-22'!K210</f>
        <v>0</v>
      </c>
      <c r="G11" s="873"/>
    </row>
    <row r="12" spans="1:7" x14ac:dyDescent="0.2">
      <c r="A12" s="870" t="s">
        <v>482</v>
      </c>
      <c r="B12" s="871" t="s">
        <v>1988</v>
      </c>
      <c r="C12" s="872"/>
      <c r="D12" s="870" t="s">
        <v>522</v>
      </c>
      <c r="E12" s="869"/>
      <c r="F12" s="1935">
        <f>'Expenditures 15-22'!K295</f>
        <v>0</v>
      </c>
      <c r="G12" s="873"/>
    </row>
    <row r="13" spans="1:7" x14ac:dyDescent="0.2">
      <c r="A13" s="870" t="s">
        <v>108</v>
      </c>
      <c r="B13" s="871" t="s">
        <v>1989</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9468991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4290669</v>
      </c>
      <c r="G53" s="866"/>
    </row>
    <row r="54" spans="1:7" x14ac:dyDescent="0.2">
      <c r="A54" s="870" t="s">
        <v>479</v>
      </c>
      <c r="B54" s="870" t="s">
        <v>1552</v>
      </c>
      <c r="C54" s="890" t="s">
        <v>1039</v>
      </c>
      <c r="D54" s="886" t="s">
        <v>1157</v>
      </c>
      <c r="E54" s="869"/>
      <c r="F54" s="1939">
        <f>'Expenditures 15-22'!G114</f>
        <v>13052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9">
        <f>'Expenditures 15-22'!K139</f>
        <v>0</v>
      </c>
      <c r="G57" s="866"/>
    </row>
    <row r="58" spans="1:7" x14ac:dyDescent="0.2">
      <c r="A58" s="870" t="s">
        <v>480</v>
      </c>
      <c r="B58" s="870" t="s">
        <v>1991</v>
      </c>
      <c r="C58" s="887" t="s">
        <v>1039</v>
      </c>
      <c r="D58" s="886" t="s">
        <v>1157</v>
      </c>
      <c r="E58" s="869"/>
      <c r="F58" s="1941">
        <f>'Expenditures 15-22'!G151</f>
        <v>0</v>
      </c>
      <c r="G58" s="866"/>
    </row>
    <row r="59" spans="1:7" x14ac:dyDescent="0.2">
      <c r="A59" s="894" t="s">
        <v>480</v>
      </c>
      <c r="B59" s="857" t="s">
        <v>1992</v>
      </c>
      <c r="C59" s="895" t="s">
        <v>1039</v>
      </c>
      <c r="D59" s="857" t="s">
        <v>309</v>
      </c>
      <c r="F59" s="1942">
        <f>'Expenditures 15-22'!I151</f>
        <v>0</v>
      </c>
      <c r="G59" s="866"/>
    </row>
    <row r="60" spans="1:7" x14ac:dyDescent="0.2">
      <c r="A60" s="894" t="s">
        <v>520</v>
      </c>
      <c r="B60" s="857" t="s">
        <v>1993</v>
      </c>
      <c r="C60" s="895">
        <v>4000</v>
      </c>
      <c r="D60" s="857" t="s">
        <v>330</v>
      </c>
      <c r="F60" s="1940">
        <f>'Expenditures 15-22'!K160</f>
        <v>0</v>
      </c>
      <c r="G60" s="866"/>
    </row>
    <row r="61" spans="1:7" x14ac:dyDescent="0.2">
      <c r="A61" s="896" t="s">
        <v>520</v>
      </c>
      <c r="B61" s="896" t="s">
        <v>1994</v>
      </c>
      <c r="C61" s="897" t="str">
        <f>'Expenditures 15-22'!B170</f>
        <v>5300</v>
      </c>
      <c r="D61" s="898" t="s">
        <v>329</v>
      </c>
      <c r="E61" s="880"/>
      <c r="F61" s="1939">
        <f>'Expenditures 15-22'!K170</f>
        <v>0</v>
      </c>
      <c r="G61" s="866"/>
    </row>
    <row r="62" spans="1:7" x14ac:dyDescent="0.2">
      <c r="A62" s="870" t="s">
        <v>481</v>
      </c>
      <c r="B62" s="870" t="s">
        <v>1995</v>
      </c>
      <c r="C62" s="887">
        <f>'Expenditures 15-22'!B185</f>
        <v>3000</v>
      </c>
      <c r="D62" s="877" t="s">
        <v>469</v>
      </c>
      <c r="E62" s="869"/>
      <c r="F62" s="1939">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1997</v>
      </c>
      <c r="C64" s="897" t="str">
        <f>'Expenditures 15-22'!B206</f>
        <v>5300</v>
      </c>
      <c r="D64" s="893" t="s">
        <v>329</v>
      </c>
      <c r="E64" s="869"/>
      <c r="F64" s="1939">
        <f>'Expenditures 15-22'!K206</f>
        <v>0</v>
      </c>
      <c r="G64" s="866"/>
    </row>
    <row r="65" spans="1:8" x14ac:dyDescent="0.2">
      <c r="A65" s="870" t="s">
        <v>481</v>
      </c>
      <c r="B65" s="870" t="s">
        <v>1998</v>
      </c>
      <c r="C65" s="887" t="s">
        <v>1039</v>
      </c>
      <c r="D65" s="886" t="s">
        <v>1157</v>
      </c>
      <c r="E65" s="869"/>
      <c r="F65" s="1939">
        <f>'Expenditures 15-22'!G210</f>
        <v>0</v>
      </c>
      <c r="G65" s="866"/>
    </row>
    <row r="66" spans="1:8" x14ac:dyDescent="0.2">
      <c r="A66" s="870" t="s">
        <v>481</v>
      </c>
      <c r="B66" s="870" t="s">
        <v>1999</v>
      </c>
      <c r="C66" s="887" t="s">
        <v>1039</v>
      </c>
      <c r="D66" s="886" t="s">
        <v>309</v>
      </c>
      <c r="E66" s="869"/>
      <c r="F66" s="1939">
        <f>'Expenditures 15-22'!I210</f>
        <v>0</v>
      </c>
      <c r="G66" s="866"/>
    </row>
    <row r="67" spans="1:8" x14ac:dyDescent="0.2">
      <c r="A67" s="870" t="s">
        <v>482</v>
      </c>
      <c r="B67" s="870" t="s">
        <v>2000</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2002</v>
      </c>
      <c r="C70" s="887">
        <f>'Expenditures 15-22'!B221</f>
        <v>1300</v>
      </c>
      <c r="D70" s="888" t="str">
        <f>'Expenditures 15-22'!A221</f>
        <v>Adult/Continuing Education Programs</v>
      </c>
      <c r="E70" s="869"/>
      <c r="F70" s="1939">
        <f>'Expenditures 15-22'!K221</f>
        <v>0</v>
      </c>
      <c r="G70" s="866"/>
    </row>
    <row r="71" spans="1:8" x14ac:dyDescent="0.2">
      <c r="A71" s="870" t="s">
        <v>482</v>
      </c>
      <c r="B71" s="870" t="s">
        <v>2003</v>
      </c>
      <c r="C71" s="887">
        <f>'Expenditures 15-22'!B224</f>
        <v>1600</v>
      </c>
      <c r="D71" s="888" t="str">
        <f>'Expenditures 15-22'!A224</f>
        <v>Summer School Programs</v>
      </c>
      <c r="E71" s="869"/>
      <c r="F71" s="1939">
        <f>'Expenditures 15-22'!K224</f>
        <v>0</v>
      </c>
      <c r="G71" s="866"/>
    </row>
    <row r="72" spans="1:8" x14ac:dyDescent="0.2">
      <c r="A72" s="870" t="s">
        <v>482</v>
      </c>
      <c r="B72" s="870" t="s">
        <v>2004</v>
      </c>
      <c r="C72" s="887">
        <f>'Expenditures 15-22'!B280</f>
        <v>3000</v>
      </c>
      <c r="D72" s="877" t="s">
        <v>469</v>
      </c>
      <c r="E72" s="869"/>
      <c r="F72" s="1939">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2006</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1015</v>
      </c>
      <c r="F76" s="1800">
        <f>SUM(F18:F74)</f>
        <v>4303721</v>
      </c>
      <c r="G76" s="866"/>
    </row>
    <row r="77" spans="1:8" s="894" customFormat="1" ht="12" customHeight="1" thickTop="1" thickBot="1" x14ac:dyDescent="0.25">
      <c r="A77" s="1801"/>
      <c r="B77" s="1798"/>
      <c r="C77" s="1794"/>
      <c r="D77" s="1799" t="s">
        <v>2008</v>
      </c>
      <c r="E77" s="1796"/>
      <c r="F77" s="1802">
        <f>(F14-F76)</f>
        <v>5165270</v>
      </c>
      <c r="G77" s="870"/>
    </row>
    <row r="78" spans="1:8" s="894" customFormat="1" ht="12" customHeight="1" thickTop="1" x14ac:dyDescent="0.2">
      <c r="A78" s="1803"/>
      <c r="B78" s="1798"/>
      <c r="C78" s="1794"/>
      <c r="D78" s="1799" t="s">
        <v>2054</v>
      </c>
      <c r="E78" s="1796"/>
      <c r="F78" s="899">
        <v>0</v>
      </c>
      <c r="G78" s="900"/>
      <c r="H78" s="870"/>
    </row>
    <row r="79" spans="1:8" s="894" customFormat="1" ht="12" customHeight="1" thickBot="1" x14ac:dyDescent="0.25">
      <c r="A79" s="1804"/>
      <c r="B79" s="1798"/>
      <c r="C79" s="1794"/>
      <c r="D79" s="1799" t="s">
        <v>2009</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33180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202708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663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39257</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3672071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27557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71473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2053</v>
      </c>
      <c r="C175" s="1946">
        <v>3100</v>
      </c>
      <c r="D175" s="1947" t="s">
        <v>2056</v>
      </c>
      <c r="E175" s="907"/>
      <c r="F175" s="1931"/>
      <c r="G175" s="928"/>
    </row>
    <row r="176" spans="1:7" x14ac:dyDescent="0.2">
      <c r="A176" s="1944" t="s">
        <v>685</v>
      </c>
      <c r="B176" s="1945" t="s">
        <v>2053</v>
      </c>
      <c r="C176" s="1946">
        <v>3300</v>
      </c>
      <c r="D176" s="1947" t="s">
        <v>2057</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1015</v>
      </c>
      <c r="F178" s="1810">
        <f>SUM(F84:F136,F161:F176)</f>
        <v>4046909</v>
      </c>
    </row>
    <row r="179" spans="1:7" ht="12" customHeight="1" x14ac:dyDescent="0.2">
      <c r="A179" s="1792"/>
      <c r="B179" s="1806"/>
      <c r="C179" s="1807"/>
      <c r="D179" s="1808" t="s">
        <v>2011</v>
      </c>
      <c r="E179" s="1809"/>
      <c r="F179" s="1811">
        <f>'PCTC-OEPP 27-28'!F77-F178</f>
        <v>1118361</v>
      </c>
    </row>
    <row r="180" spans="1:7" ht="12" customHeight="1" x14ac:dyDescent="0.2">
      <c r="A180" s="1792"/>
      <c r="B180" s="1806"/>
      <c r="C180" s="1807"/>
      <c r="D180" s="1808" t="s">
        <v>1921</v>
      </c>
      <c r="E180" s="1809"/>
      <c r="F180" s="1811">
        <f>'Cap Outlay Deprec 26'!I18</f>
        <v>91443</v>
      </c>
    </row>
    <row r="181" spans="1:7" ht="12" customHeight="1" x14ac:dyDescent="0.2">
      <c r="A181" s="1792"/>
      <c r="B181" s="1806"/>
      <c r="C181" s="1807"/>
      <c r="D181" s="1808" t="s">
        <v>2012</v>
      </c>
      <c r="E181" s="1809"/>
      <c r="F181" s="1811">
        <f>F179+F180</f>
        <v>1209804</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2013</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8" customFormat="1" ht="12.2" customHeight="1" x14ac:dyDescent="0.2">
      <c r="A186" s="1948" t="s">
        <v>2060</v>
      </c>
      <c r="B186" s="1949"/>
      <c r="C186" s="1950"/>
      <c r="D186" s="1949"/>
      <c r="E186" s="1950"/>
      <c r="F186" s="1949"/>
      <c r="G186" s="1949"/>
    </row>
    <row r="187" spans="1:7" s="1948" customFormat="1" ht="12.2" customHeight="1" x14ac:dyDescent="0.2">
      <c r="A187" s="1951" t="s">
        <v>2061</v>
      </c>
      <c r="C187" s="1950"/>
      <c r="D187" s="1949"/>
      <c r="E187" s="1950"/>
      <c r="F187" s="1949"/>
      <c r="G187" s="1949"/>
    </row>
    <row r="188" spans="1:7" ht="12" customHeight="1" x14ac:dyDescent="0.2">
      <c r="C188" s="950"/>
      <c r="D188" s="931"/>
      <c r="E188" s="950"/>
      <c r="F188" s="931"/>
      <c r="G188" s="931"/>
    </row>
    <row r="189" spans="1:7" x14ac:dyDescent="0.2">
      <c r="A189" s="1952" t="s">
        <v>2059</v>
      </c>
      <c r="B189" s="1953"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1" sqref="D21"/>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1922</v>
      </c>
      <c r="B4" s="2289"/>
      <c r="C4" s="2289"/>
      <c r="D4" s="2289"/>
      <c r="E4" s="2289"/>
      <c r="F4" s="2289"/>
      <c r="G4" s="2290"/>
    </row>
    <row r="5" spans="1:7" x14ac:dyDescent="0.25">
      <c r="A5" s="2291"/>
      <c r="B5" s="2292"/>
      <c r="C5" s="2292"/>
      <c r="D5" s="2292"/>
      <c r="E5" s="2292"/>
      <c r="F5" s="2292"/>
      <c r="G5" s="2293"/>
    </row>
    <row r="6" spans="1:7" ht="18.75" x14ac:dyDescent="0.25">
      <c r="A6" s="1556" t="s">
        <v>1923</v>
      </c>
      <c r="B6" s="1557"/>
      <c r="C6" s="1557"/>
      <c r="D6" s="1557"/>
      <c r="E6" s="1557"/>
      <c r="F6" s="1557"/>
      <c r="G6" s="1558"/>
    </row>
    <row r="7" spans="1:7" ht="30.75" customHeight="1" x14ac:dyDescent="0.25">
      <c r="A7" s="2294" t="s">
        <v>2070</v>
      </c>
      <c r="B7" s="2295"/>
      <c r="C7" s="2295"/>
      <c r="D7" s="2295"/>
      <c r="E7" s="2295"/>
      <c r="F7" s="2295"/>
      <c r="G7" s="2296"/>
    </row>
    <row r="8" spans="1:7" ht="15.75" customHeight="1" x14ac:dyDescent="0.25">
      <c r="A8" s="2297" t="s">
        <v>2019</v>
      </c>
      <c r="B8" s="2298"/>
      <c r="C8" s="2298"/>
      <c r="D8" s="2298"/>
      <c r="E8" s="2298"/>
      <c r="F8" s="2298"/>
      <c r="G8" s="2299"/>
    </row>
    <row r="9" spans="1:7" ht="35.25" customHeight="1" x14ac:dyDescent="0.25">
      <c r="A9" s="2294" t="s">
        <v>2073</v>
      </c>
      <c r="B9" s="2295"/>
      <c r="C9" s="2295"/>
      <c r="D9" s="2295"/>
      <c r="E9" s="2295"/>
      <c r="F9" s="2295"/>
      <c r="G9" s="2296"/>
    </row>
    <row r="10" spans="1:7" ht="15" customHeight="1" x14ac:dyDescent="0.25">
      <c r="A10" s="1559" t="s">
        <v>1924</v>
      </c>
      <c r="B10" s="1560"/>
      <c r="C10" s="1560"/>
      <c r="D10" s="1560"/>
      <c r="E10" s="1560"/>
      <c r="F10" s="1560"/>
      <c r="G10" s="1561"/>
    </row>
    <row r="11" spans="1:7" ht="17.25" customHeight="1" x14ac:dyDescent="0.25">
      <c r="A11" s="2294" t="s">
        <v>2072</v>
      </c>
      <c r="B11" s="2295"/>
      <c r="C11" s="2295"/>
      <c r="D11" s="2295"/>
      <c r="E11" s="2295"/>
      <c r="F11" s="2295"/>
      <c r="G11" s="2296"/>
    </row>
    <row r="12" spans="1:7" ht="15" customHeight="1" x14ac:dyDescent="0.25">
      <c r="A12" s="1559" t="s">
        <v>1929</v>
      </c>
      <c r="B12" s="1560"/>
      <c r="C12" s="1560"/>
      <c r="D12" s="1560"/>
      <c r="E12" s="1560"/>
      <c r="F12" s="1560"/>
      <c r="G12" s="1561"/>
    </row>
    <row r="13" spans="1:7" ht="32.25" customHeight="1" x14ac:dyDescent="0.25">
      <c r="A13" s="2285" t="s">
        <v>1930</v>
      </c>
      <c r="B13" s="2286"/>
      <c r="C13" s="2286"/>
      <c r="D13" s="2286"/>
      <c r="E13" s="2286"/>
      <c r="F13" s="2286"/>
      <c r="G13" s="2287"/>
    </row>
    <row r="14" spans="1:7" x14ac:dyDescent="0.25">
      <c r="A14" s="1683" t="s">
        <v>1938</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2147</v>
      </c>
      <c r="B17" s="1957" t="s">
        <v>2148</v>
      </c>
      <c r="C17" s="1958" t="s">
        <v>2149</v>
      </c>
      <c r="D17" s="1867">
        <f>195+195+200+500+500</f>
        <v>1590</v>
      </c>
      <c r="E17" s="1562">
        <f t="shared" ref="E17:E141" si="1">IF(D17&lt;=25000,D17,IF(D17&gt;25000,25000,0))</f>
        <v>1590</v>
      </c>
      <c r="F17" s="1815">
        <f t="shared" si="0"/>
        <v>1590</v>
      </c>
      <c r="G17" s="1816">
        <f>IF(F17=0,0,D17-F17)</f>
        <v>0</v>
      </c>
      <c r="H17" s="1669"/>
    </row>
    <row r="18" spans="1:8" x14ac:dyDescent="0.25">
      <c r="A18" s="1956" t="s">
        <v>2147</v>
      </c>
      <c r="B18" s="1957" t="s">
        <v>2148</v>
      </c>
      <c r="C18" s="1958" t="s">
        <v>2150</v>
      </c>
      <c r="D18" s="1867">
        <v>3600</v>
      </c>
      <c r="E18" s="1562">
        <f t="shared" ref="E18:E140" si="2">IF(D18&lt;=25000,D18,IF(D18&gt;25000,25000,0))</f>
        <v>3600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3600</v>
      </c>
      <c r="G18" s="1816">
        <f t="shared" ref="G18:G140" si="4">IF(F18=0,0,D18-F18)</f>
        <v>0</v>
      </c>
    </row>
    <row r="19" spans="1:8" x14ac:dyDescent="0.25">
      <c r="A19" s="1956" t="s">
        <v>2151</v>
      </c>
      <c r="B19" s="1957" t="s">
        <v>2152</v>
      </c>
      <c r="C19" s="1958" t="s">
        <v>2153</v>
      </c>
      <c r="D19" s="1867">
        <f>197.5*12</f>
        <v>2370</v>
      </c>
      <c r="E19" s="1562">
        <f t="shared" si="2"/>
        <v>2370</v>
      </c>
      <c r="F19" s="1815">
        <f t="shared" si="3"/>
        <v>2370</v>
      </c>
      <c r="G19" s="1816">
        <f t="shared" si="4"/>
        <v>0</v>
      </c>
    </row>
    <row r="20" spans="1:8" x14ac:dyDescent="0.25">
      <c r="A20" s="1956" t="s">
        <v>2151</v>
      </c>
      <c r="B20" s="1957" t="s">
        <v>2152</v>
      </c>
      <c r="C20" s="1958" t="s">
        <v>2154</v>
      </c>
      <c r="D20" s="1867">
        <v>24204</v>
      </c>
      <c r="E20" s="1562">
        <f t="shared" si="2"/>
        <v>24204</v>
      </c>
      <c r="F20" s="1815">
        <f t="shared" si="3"/>
        <v>24204</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31764</v>
      </c>
      <c r="E141" s="1563">
        <f t="shared" si="1"/>
        <v>25000</v>
      </c>
      <c r="F141" s="1817">
        <f>SUM(F17:F140)</f>
        <v>31764</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f>+'Revenues 9-14'!C201</f>
        <v>39257</v>
      </c>
      <c r="F10" s="975"/>
      <c r="G10" s="976"/>
      <c r="H10" s="162"/>
      <c r="I10" s="162"/>
    </row>
    <row r="11" spans="1:9" s="669" customFormat="1" ht="22.5" customHeight="1" x14ac:dyDescent="0.2">
      <c r="A11" s="2305" t="s">
        <v>1941</v>
      </c>
      <c r="B11" s="2306"/>
      <c r="C11" s="2306"/>
      <c r="D11" s="2307"/>
      <c r="E11" s="978">
        <v>3219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1286470</v>
      </c>
      <c r="F19" s="1822"/>
      <c r="G19" s="1824">
        <f>'Expenditures 15-22'!K33-SUM('Expenditures 15-22'!G33,'Expenditures 15-22'!I33)+'Expenditures 15-22'!D229</f>
        <v>1286470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1520985</v>
      </c>
      <c r="F21" s="1825"/>
      <c r="G21" s="1828">
        <f>'Expenditures 15-22'!K42-SUM('Expenditures 15-22'!G42,'Expenditures 15-22'!I42)+'Expenditures 15-22'!K120-SUM('Expenditures 15-22'!G120,'Expenditures 15-22'!I120)+'Expenditures 15-22'!K180-SUM('Expenditures 15-22'!G180,'Expenditures 15-22'!I180)+'Expenditures 15-22'!D238</f>
        <v>1520985</v>
      </c>
      <c r="H21" s="988"/>
      <c r="I21" s="162"/>
    </row>
    <row r="22" spans="1:9" s="669" customFormat="1" ht="12" customHeight="1" x14ac:dyDescent="0.2">
      <c r="A22" s="995" t="s">
        <v>585</v>
      </c>
      <c r="B22" s="996"/>
      <c r="C22" s="994">
        <v>2200</v>
      </c>
      <c r="D22" s="1825"/>
      <c r="E22" s="1827">
        <f>'Expenditures 15-22'!K47-SUM('Expenditures 15-22'!G47,'Expenditures 15-22'!I47)+'Expenditures 15-22'!D243</f>
        <v>989032</v>
      </c>
      <c r="F22" s="1825"/>
      <c r="G22" s="1828">
        <f>'Expenditures 15-22'!K47-SUM('Expenditures 15-22'!G47,'Expenditures 15-22'!I47)+'Expenditures 15-22'!D243</f>
        <v>989032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768810</v>
      </c>
      <c r="F23" s="1825"/>
      <c r="G23" s="1827">
        <f>'Expenditures 15-22'!K53-SUM('Expenditures 15-22'!G53,'Expenditures 15-22'!I53)+'Expenditures 15-22'!D257+'Expenditures 15-22'!K330-SUM('Expenditures 15-22'!G330,'Expenditures 15-22'!I330)</f>
        <v>768810</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99382</v>
      </c>
      <c r="E27" s="1827">
        <f>E8</f>
        <v>0</v>
      </c>
      <c r="F27" s="1827">
        <f>'Expenditures 15-22'!K60-SUM('Expenditures 15-22'!G60,'Expenditures 15-22'!I60)+'Expenditures 15-22'!D264-E8</f>
        <v>99382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269508</v>
      </c>
      <c r="F28" s="1829">
        <f>'Expenditures 15-22'!K61-SUM('Expenditures 15-22'!G61,'Expenditures 15-22'!I61)+'Expenditures 15-22'!K124-SUM('Expenditures 15-22'!G124,'Expenditures 15-22'!I124)+'Expenditures 15-22'!D266-E9</f>
        <v>269508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4109</v>
      </c>
      <c r="F30" s="1825"/>
      <c r="G30" s="1827">
        <f>'Expenditures 15-22'!K63-SUM('Expenditures 15-22'!G63,'Expenditures 15-22'!I63)+'Expenditures 15-22'!D268-E10</f>
        <v>4109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123393</v>
      </c>
      <c r="F35" s="1825"/>
      <c r="G35" s="1827">
        <f>'Expenditures 15-22'!K69-SUM('Expenditures 15-22'!G69,'Expenditures 15-22'!I69)+'Expenditures 15-22'!D274</f>
        <v>123393</v>
      </c>
    </row>
    <row r="36" spans="1:7" ht="12" customHeight="1" x14ac:dyDescent="0.2">
      <c r="A36" s="995" t="s">
        <v>423</v>
      </c>
      <c r="B36" s="998"/>
      <c r="C36" s="994">
        <v>2640</v>
      </c>
      <c r="D36" s="1827">
        <f>'Expenditures 15-22'!K70-SUM('Expenditures 15-22'!G70,'Expenditures 15-22'!I70)+'Expenditures 15-22'!D275-E13</f>
        <v>523</v>
      </c>
      <c r="E36" s="1827">
        <f>E13</f>
        <v>0</v>
      </c>
      <c r="F36" s="1827">
        <f>'Expenditures 15-22'!K70-SUM('Expenditures 15-22'!G70,'Expenditures 15-22'!I70)+'Expenditures 15-22'!D275-E13</f>
        <v>523</v>
      </c>
      <c r="G36" s="1827">
        <f>E13</f>
        <v>0</v>
      </c>
    </row>
    <row r="37" spans="1:7" ht="12" customHeight="1" x14ac:dyDescent="0.2">
      <c r="A37" s="995" t="s">
        <v>424</v>
      </c>
      <c r="B37" s="998"/>
      <c r="C37" s="994">
        <v>2660</v>
      </c>
      <c r="D37" s="1827">
        <f>'Expenditures 15-22'!K71-SUM('Expenditures 15-22'!G71,'Expenditures 15-22'!I71)+'Expenditures 15-22'!D276-E14</f>
        <v>63801</v>
      </c>
      <c r="E37" s="1827">
        <f>E14</f>
        <v>0</v>
      </c>
      <c r="F37" s="1827">
        <f>'Expenditures 15-22'!K71-SUM('Expenditures 15-22'!G71,'Expenditures 15-22'!I71)+'Expenditures 15-22'!D276-E14</f>
        <v>63801</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163706</v>
      </c>
      <c r="E41" s="1829">
        <f>SUM(E19:E40)</f>
        <v>4962307</v>
      </c>
      <c r="F41" s="1829">
        <f>SUM(F19:F39)</f>
        <v>433214</v>
      </c>
      <c r="G41" s="1829">
        <f>SUM(G19:G40)</f>
        <v>4692799</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163706</v>
      </c>
      <c r="F43" s="1830" t="s">
        <v>495</v>
      </c>
      <c r="G43" s="1831">
        <f>F41</f>
        <v>433214</v>
      </c>
    </row>
    <row r="44" spans="1:7" ht="12" customHeight="1" x14ac:dyDescent="0.2">
      <c r="A44" s="988"/>
      <c r="B44" s="162"/>
      <c r="C44" s="1002"/>
      <c r="D44" s="1830" t="s">
        <v>494</v>
      </c>
      <c r="E44" s="1831">
        <f>E41</f>
        <v>4962307</v>
      </c>
      <c r="F44" s="1830" t="s">
        <v>494</v>
      </c>
      <c r="G44" s="1831">
        <f>G41</f>
        <v>4692799</v>
      </c>
    </row>
    <row r="45" spans="1:7" ht="12" customHeight="1" x14ac:dyDescent="0.2">
      <c r="A45" s="988"/>
      <c r="B45" s="162"/>
      <c r="C45" s="162"/>
      <c r="D45" s="1832" t="s">
        <v>1063</v>
      </c>
      <c r="E45" s="1833">
        <f>(E43/E44)</f>
        <v>3.2989897642366747E-2</v>
      </c>
      <c r="F45" s="1832" t="s">
        <v>1063</v>
      </c>
      <c r="G45" s="1833">
        <f>(G43/G44)</f>
        <v>9.2314629286274569E-2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45" sqref="A4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2043</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LaSalle Putnam Alliance</v>
      </c>
      <c r="D6" s="2326"/>
      <c r="E6" s="2326"/>
      <c r="F6" s="1877"/>
    </row>
    <row r="7" spans="1:10" ht="11.25" customHeight="1" thickBot="1" x14ac:dyDescent="0.3">
      <c r="A7" s="1875"/>
      <c r="B7" s="1876"/>
      <c r="C7" s="2327">
        <f>COVER!A13</f>
        <v>35050000061</v>
      </c>
      <c r="D7" s="2327"/>
      <c r="E7" s="2327"/>
      <c r="F7" s="1877"/>
    </row>
    <row r="8" spans="1:10" ht="25.5" customHeight="1" thickBot="1" x14ac:dyDescent="0.25">
      <c r="A8" s="1918" t="s">
        <v>2020</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2094</v>
      </c>
      <c r="D15" s="1890" t="s">
        <v>2094</v>
      </c>
      <c r="E15" s="1893"/>
      <c r="F15" s="1892"/>
      <c r="H15" s="1903">
        <f t="shared" si="0"/>
        <v>5</v>
      </c>
      <c r="I15" s="1903">
        <f t="shared" si="1"/>
        <v>5</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2094</v>
      </c>
      <c r="D19" s="1890" t="s">
        <v>2094</v>
      </c>
      <c r="E19" s="1893"/>
      <c r="F19" s="1892" t="s">
        <v>2095</v>
      </c>
      <c r="H19" s="1903">
        <f t="shared" si="0"/>
        <v>5</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2094</v>
      </c>
      <c r="D26" s="1890" t="s">
        <v>2094</v>
      </c>
      <c r="E26" s="1893"/>
      <c r="F26" s="1892" t="s">
        <v>2096</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2094</v>
      </c>
      <c r="D28" s="1890" t="s">
        <v>2094</v>
      </c>
      <c r="E28" s="1893"/>
      <c r="F28" s="1892"/>
      <c r="H28" s="1903">
        <f t="shared" si="0"/>
        <v>5</v>
      </c>
      <c r="I28" s="1903">
        <f t="shared" si="1"/>
        <v>5</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20</v>
      </c>
      <c r="I34" s="1903">
        <f>SUM(I11:I32)</f>
        <v>20</v>
      </c>
      <c r="J34" s="1903">
        <f>SUM(J11:J32)</f>
        <v>0</v>
      </c>
      <c r="K34" s="1903">
        <f>SUM(H34:J34)</f>
        <v>40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t="s">
        <v>2097</v>
      </c>
      <c r="B41" s="2320"/>
      <c r="C41" s="2320"/>
      <c r="D41" s="2320"/>
      <c r="E41" s="2320"/>
      <c r="F41" s="2321"/>
      <c r="H41" s="1904"/>
      <c r="I41" s="1904"/>
      <c r="J41" s="1904"/>
      <c r="K41" s="1904"/>
    </row>
    <row r="42" spans="1:11" s="1895" customFormat="1" ht="12" customHeight="1" x14ac:dyDescent="0.25">
      <c r="A42" s="2319" t="s">
        <v>2098</v>
      </c>
      <c r="B42" s="2320"/>
      <c r="C42" s="2320"/>
      <c r="D42" s="2320"/>
      <c r="E42" s="2320"/>
      <c r="F42" s="2321"/>
      <c r="H42" s="1904"/>
      <c r="I42" s="1904"/>
      <c r="J42" s="1904"/>
      <c r="K42" s="1904"/>
    </row>
    <row r="43" spans="1:11" s="1895" customFormat="1" ht="15" x14ac:dyDescent="0.25">
      <c r="A43" s="2308" t="s">
        <v>2099</v>
      </c>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2" sqref="H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LaSalle Putnam Alliance</v>
      </c>
      <c r="J6" s="2336"/>
      <c r="Q6" s="1686"/>
    </row>
    <row r="7" spans="1:17" x14ac:dyDescent="0.2">
      <c r="A7" s="2337" t="s">
        <v>924</v>
      </c>
      <c r="B7" s="2338"/>
      <c r="C7" s="2338"/>
      <c r="D7" s="2338"/>
      <c r="E7" s="2339"/>
      <c r="F7" s="1018"/>
      <c r="G7" s="1010"/>
      <c r="H7" s="1017" t="s">
        <v>390</v>
      </c>
      <c r="I7" s="2340">
        <f>COVER!A13</f>
        <v>35050000061</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532256</v>
      </c>
      <c r="F12" s="1040"/>
      <c r="G12" s="1834">
        <f t="shared" ref="G12:G18" si="0">SUM(E12:F12)</f>
        <v>532256</v>
      </c>
      <c r="H12" s="1041"/>
      <c r="I12" s="1040"/>
      <c r="J12" s="1834">
        <f t="shared" ref="J12:J18" si="1">SUM(H12:I12)</f>
        <v>0</v>
      </c>
    </row>
    <row r="13" spans="1:17" ht="15" customHeight="1" x14ac:dyDescent="0.2">
      <c r="A13" s="1036">
        <v>2</v>
      </c>
      <c r="B13" s="1037" t="s">
        <v>44</v>
      </c>
      <c r="C13" s="1038"/>
      <c r="D13" s="1039">
        <v>2330</v>
      </c>
      <c r="E13" s="1834">
        <f>'Expenditures 15-22'!K51</f>
        <v>238494</v>
      </c>
      <c r="F13" s="1040"/>
      <c r="G13" s="1834">
        <f t="shared" si="0"/>
        <v>238494</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770750</v>
      </c>
      <c r="F19" s="1836">
        <f t="shared" si="2"/>
        <v>0</v>
      </c>
      <c r="G19" s="1836">
        <f t="shared" si="2"/>
        <v>770750</v>
      </c>
      <c r="H19" s="1836">
        <f t="shared" si="2"/>
        <v>0</v>
      </c>
      <c r="I19" s="1836">
        <f t="shared" si="2"/>
        <v>0</v>
      </c>
      <c r="J19" s="1836">
        <f t="shared" si="2"/>
        <v>0</v>
      </c>
    </row>
    <row r="20" spans="1:10" ht="13.5" thickTop="1" x14ac:dyDescent="0.2">
      <c r="A20" s="1036">
        <v>9</v>
      </c>
      <c r="B20" s="2347" t="s">
        <v>1703</v>
      </c>
      <c r="C20" s="2347"/>
      <c r="D20" s="2348"/>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1940</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2100</v>
      </c>
    </row>
    <row r="6" spans="1:2" x14ac:dyDescent="0.2">
      <c r="A6" s="1069">
        <v>2</v>
      </c>
      <c r="B6" s="329" t="s">
        <v>2101</v>
      </c>
    </row>
    <row r="7" spans="1:2" x14ac:dyDescent="0.2">
      <c r="A7" s="1069">
        <v>3</v>
      </c>
      <c r="B7" s="329" t="s">
        <v>2102</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LaSalle Putnam Alliance</v>
      </c>
    </row>
    <row r="65" spans="2:2" x14ac:dyDescent="0.2">
      <c r="B65" s="1071">
        <f>COVER!A13</f>
        <v>35050000061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9" t="s">
        <v>1709</v>
      </c>
    </row>
    <row r="23" spans="1:5" x14ac:dyDescent="0.2">
      <c r="A23" s="168"/>
      <c r="B23" s="162" t="s">
        <v>1965</v>
      </c>
      <c r="D23" s="167" t="s">
        <v>658</v>
      </c>
      <c r="E23" s="1859"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3" sqref="A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742950</xdr:colOff>
                <xdr:row>4</xdr:row>
                <xdr:rowOff>57150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4</xdr:row>
                <xdr:rowOff>0</xdr:rowOff>
              </from>
              <to>
                <xdr:col>1</xdr:col>
                <xdr:colOff>742950</xdr:colOff>
                <xdr:row>8</xdr:row>
                <xdr:rowOff>57150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8</xdr:row>
                <xdr:rowOff>0</xdr:rowOff>
              </from>
              <to>
                <xdr:col>1</xdr:col>
                <xdr:colOff>742950</xdr:colOff>
                <xdr:row>12</xdr:row>
                <xdr:rowOff>57150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5">
            <anchor moveWithCells="1">
              <from>
                <xdr:col>0</xdr:col>
                <xdr:colOff>0</xdr:colOff>
                <xdr:row>12</xdr:row>
                <xdr:rowOff>0</xdr:rowOff>
              </from>
              <to>
                <xdr:col>1</xdr:col>
                <xdr:colOff>742950</xdr:colOff>
                <xdr:row>15</xdr:row>
                <xdr:rowOff>219075</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2051</v>
      </c>
      <c r="B4" s="2375"/>
      <c r="C4" s="2375"/>
      <c r="D4" s="2375"/>
      <c r="E4" s="2375"/>
      <c r="F4" s="2376"/>
      <c r="G4" s="1075"/>
      <c r="H4" s="1075"/>
    </row>
    <row r="5" spans="1:8" ht="14.25" customHeight="1" x14ac:dyDescent="0.2">
      <c r="A5" s="2377" t="s">
        <v>2052</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9551180</v>
      </c>
      <c r="C8" s="1838">
        <f>'Acct Summary 7-8'!D8</f>
        <v>0</v>
      </c>
      <c r="D8" s="1838">
        <f>'Acct Summary 7-8'!F8</f>
        <v>0</v>
      </c>
      <c r="E8" s="1838">
        <f>'Acct Summary 7-8'!I8</f>
        <v>0</v>
      </c>
      <c r="F8" s="1838">
        <f>SUM(B8:E8)</f>
        <v>9551180</v>
      </c>
    </row>
    <row r="9" spans="1:8" s="1080" customFormat="1" ht="14.25" customHeight="1" thickBot="1" x14ac:dyDescent="0.25">
      <c r="A9" s="1079" t="s">
        <v>1436</v>
      </c>
      <c r="B9" s="1839">
        <f>'Acct Summary 7-8'!C17</f>
        <v>9468991</v>
      </c>
      <c r="C9" s="1839">
        <f>'Acct Summary 7-8'!D17</f>
        <v>0</v>
      </c>
      <c r="D9" s="1839">
        <f>'Acct Summary 7-8'!F17</f>
        <v>0</v>
      </c>
      <c r="E9" s="1838"/>
      <c r="F9" s="1838">
        <f>SUM(B9:E9)</f>
        <v>9468991</v>
      </c>
    </row>
    <row r="10" spans="1:8" s="1080" customFormat="1" ht="14.25" thickTop="1" thickBot="1" x14ac:dyDescent="0.25">
      <c r="A10" s="1081" t="s">
        <v>1437</v>
      </c>
      <c r="B10" s="1840">
        <f>(B8-B9)</f>
        <v>82189</v>
      </c>
      <c r="C10" s="1840">
        <f>(C8-C9)</f>
        <v>0</v>
      </c>
      <c r="D10" s="1840">
        <f>(D8-D9)</f>
        <v>0</v>
      </c>
      <c r="E10" s="1839">
        <f>(E8-E9)</f>
        <v>0</v>
      </c>
      <c r="F10" s="1841">
        <f>SUM(F8-F9)</f>
        <v>82189</v>
      </c>
    </row>
    <row r="11" spans="1:8" s="1080" customFormat="1" ht="14.25" thickTop="1" thickBot="1" x14ac:dyDescent="0.25">
      <c r="A11" s="1082" t="s">
        <v>1785</v>
      </c>
      <c r="B11" s="1842">
        <f>'Acct Summary 7-8'!C81</f>
        <v>960221</v>
      </c>
      <c r="C11" s="1842">
        <f>'Acct Summary 7-8'!D81</f>
        <v>0</v>
      </c>
      <c r="D11" s="1842">
        <f>'Acct Summary 7-8'!F81</f>
        <v>0</v>
      </c>
      <c r="E11" s="1842">
        <f>'Acct Summary 7-8'!I81</f>
        <v>0</v>
      </c>
      <c r="F11" s="1843">
        <f>SUM(B11:E11)</f>
        <v>960221</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5"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35050000061</v>
      </c>
    </row>
    <row r="3" spans="1:2" x14ac:dyDescent="0.2">
      <c r="A3" t="s">
        <v>1013</v>
      </c>
      <c r="B3" s="138" t="str">
        <f>COVER!A15</f>
        <v>LASALLE</v>
      </c>
    </row>
    <row r="4" spans="1:2" x14ac:dyDescent="0.2">
      <c r="A4" t="s">
        <v>1064</v>
      </c>
      <c r="B4" s="138" t="str">
        <f>COVER!A17</f>
        <v>LaSalle Putnam Alliance</v>
      </c>
    </row>
    <row r="5" spans="1:2" x14ac:dyDescent="0.2">
      <c r="A5" t="s">
        <v>728</v>
      </c>
      <c r="B5" s="138" t="str">
        <f>COVER!A38</f>
        <v>MARY JANE CHAPMAN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 xml:space="preserve">116 E WASHINGTON ST., SUITE ONE </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1260197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12082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299976</v>
      </c>
      <c r="C91" s="2" t="s">
        <v>594</v>
      </c>
      <c r="D91" s="2" t="str">
        <f t="shared" si="0"/>
        <v>Error?</v>
      </c>
    </row>
    <row r="92" spans="1:4" x14ac:dyDescent="0.2">
      <c r="A92" s="5">
        <v>31</v>
      </c>
      <c r="B92" s="138">
        <f>'Assets-Liab 5-6'!C39</f>
        <v>960221</v>
      </c>
      <c r="D92" s="2" t="str">
        <f t="shared" si="0"/>
        <v>Error?</v>
      </c>
    </row>
    <row r="93" spans="1:4" x14ac:dyDescent="0.2">
      <c r="A93" s="5">
        <v>32</v>
      </c>
      <c r="B93" s="138">
        <f>'Assets-Liab 5-6'!C41</f>
        <v>1260197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35000</v>
      </c>
      <c r="D273" s="2" t="str">
        <f t="shared" si="3"/>
        <v>Error?</v>
      </c>
    </row>
    <row r="274" spans="1:4" x14ac:dyDescent="0.2">
      <c r="A274" s="5">
        <v>213</v>
      </c>
      <c r="B274" s="138">
        <f>'Assets-Liab 5-6'!M17</f>
        <v>2311384</v>
      </c>
      <c r="D274" s="2" t="str">
        <f t="shared" si="3"/>
        <v>Error?</v>
      </c>
    </row>
    <row r="275" spans="1:4" x14ac:dyDescent="0.2">
      <c r="A275" s="5">
        <v>214</v>
      </c>
      <c r="B275" s="138">
        <f>'Assets-Liab 5-6'!M18</f>
        <v>0</v>
      </c>
      <c r="D275" s="2" t="str">
        <f t="shared" si="3"/>
        <v>Error?</v>
      </c>
    </row>
    <row r="276" spans="1:4" x14ac:dyDescent="0.2">
      <c r="A276" s="5">
        <v>215</v>
      </c>
      <c r="B276" s="138">
        <f>'Assets-Liab 5-6'!M19</f>
        <v>416087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2762471</v>
      </c>
      <c r="C279" s="2" t="s">
        <v>594</v>
      </c>
      <c r="D279" s="2" t="str">
        <f t="shared" si="3"/>
        <v>Error?</v>
      </c>
    </row>
    <row r="280" spans="1:4" x14ac:dyDescent="0.2">
      <c r="A280" s="5">
        <v>219</v>
      </c>
      <c r="B280" s="138">
        <f>'Assets-Liab 5-6'!M40</f>
        <v>2762471</v>
      </c>
      <c r="D280" s="2" t="str">
        <f t="shared" si="3"/>
        <v>Error?</v>
      </c>
    </row>
    <row r="281" spans="1:4" x14ac:dyDescent="0.2">
      <c r="A281" s="5">
        <v>220</v>
      </c>
      <c r="B281" s="138">
        <f>'Assets-Liab 5-6'!M41</f>
        <v>2762471</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852994</v>
      </c>
      <c r="C720" s="2" t="s">
        <v>594</v>
      </c>
      <c r="D720" s="2" t="str">
        <f t="shared" si="10"/>
        <v>Error?</v>
      </c>
    </row>
    <row r="721" spans="1:4" x14ac:dyDescent="0.2">
      <c r="A721" s="5">
        <v>660</v>
      </c>
      <c r="B721" s="138">
        <f>'Expenditures 15-22'!C36</f>
        <v>201815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64000</v>
      </c>
      <c r="D724" s="2" t="str">
        <f t="shared" si="10"/>
        <v>Error?</v>
      </c>
    </row>
    <row r="725" spans="1:4" x14ac:dyDescent="0.2">
      <c r="A725" s="5">
        <v>664</v>
      </c>
      <c r="B725" s="138">
        <f>'Expenditures 15-22'!C40</f>
        <v>800011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1065826</v>
      </c>
      <c r="C727" s="2" t="s">
        <v>594</v>
      </c>
      <c r="D727" s="2" t="str">
        <f t="shared" si="10"/>
        <v>Error?</v>
      </c>
    </row>
    <row r="728" spans="1:4" x14ac:dyDescent="0.2">
      <c r="A728" s="5">
        <v>667</v>
      </c>
      <c r="B728" s="138">
        <f>'Expenditures 15-22'!C44</f>
        <v>530991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124715</v>
      </c>
      <c r="D730" s="2" t="str">
        <f t="shared" si="10"/>
        <v>Error?</v>
      </c>
    </row>
    <row r="731" spans="1:4" x14ac:dyDescent="0.2">
      <c r="A731" s="5">
        <v>670</v>
      </c>
      <c r="B731" s="138">
        <f>'Expenditures 15-22'!C47</f>
        <v>655706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316912</v>
      </c>
      <c r="D733" s="2" t="str">
        <f t="shared" si="10"/>
        <v>Error?</v>
      </c>
    </row>
    <row r="734" spans="1:4" x14ac:dyDescent="0.2">
      <c r="A734" s="5">
        <v>673</v>
      </c>
      <c r="B734" s="138">
        <f>'Expenditures 15-22'!C53</f>
        <v>440711</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65047</v>
      </c>
      <c r="D739" s="2" t="str">
        <f t="shared" si="10"/>
        <v>Error?</v>
      </c>
    </row>
    <row r="740" spans="1:4" x14ac:dyDescent="0.2">
      <c r="A740" s="5">
        <v>679</v>
      </c>
      <c r="B740" s="138">
        <f>'Expenditures 15-22'!C61</f>
        <v>109583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174630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68044</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22743</v>
      </c>
      <c r="D751" s="2" t="str">
        <f t="shared" si="10"/>
        <v>Error?</v>
      </c>
    </row>
    <row r="752" spans="1:4" x14ac:dyDescent="0.2">
      <c r="A752" s="10">
        <v>691</v>
      </c>
      <c r="D752" s="2" t="str">
        <f t="shared" si="10"/>
        <v>OK</v>
      </c>
    </row>
    <row r="753" spans="1:4" x14ac:dyDescent="0.2">
      <c r="A753" s="5">
        <v>692</v>
      </c>
      <c r="B753" s="138">
        <f>'Expenditures 15-22'!C72</f>
        <v>90787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2427660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3280654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405475</v>
      </c>
      <c r="C778" s="2" t="s">
        <v>594</v>
      </c>
      <c r="D778" s="2" t="str">
        <f t="shared" si="11"/>
        <v>Error?</v>
      </c>
    </row>
    <row r="779" spans="1:4" x14ac:dyDescent="0.2">
      <c r="A779" s="5">
        <v>718</v>
      </c>
      <c r="B779" s="138">
        <f>'Expenditures 15-22'!D36</f>
        <v>65958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27544</v>
      </c>
      <c r="D782" s="2" t="str">
        <f t="shared" si="11"/>
        <v>Error?</v>
      </c>
    </row>
    <row r="783" spans="1:4" x14ac:dyDescent="0.2">
      <c r="A783" s="5">
        <v>722</v>
      </c>
      <c r="B783" s="138">
        <f>'Expenditures 15-22'!D40</f>
        <v>318734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412236</v>
      </c>
      <c r="C785" s="2" t="s">
        <v>594</v>
      </c>
      <c r="D785" s="2" t="str">
        <f t="shared" si="11"/>
        <v>Error?</v>
      </c>
    </row>
    <row r="786" spans="1:4" x14ac:dyDescent="0.2">
      <c r="A786" s="5">
        <v>725</v>
      </c>
      <c r="B786" s="138">
        <f>'Expenditures 15-22'!D44</f>
        <v>195653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60940</v>
      </c>
      <c r="D788" s="2" t="str">
        <f t="shared" si="11"/>
        <v>Error?</v>
      </c>
    </row>
    <row r="789" spans="1:4" x14ac:dyDescent="0.2">
      <c r="A789" s="5">
        <v>728</v>
      </c>
      <c r="B789" s="138">
        <f>'Expenditures 15-22'!D47</f>
        <v>256593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120369</v>
      </c>
      <c r="D791" s="2" t="str">
        <f t="shared" si="11"/>
        <v>Error?</v>
      </c>
    </row>
    <row r="792" spans="1:4" x14ac:dyDescent="0.2">
      <c r="A792" s="5">
        <v>731</v>
      </c>
      <c r="B792" s="138">
        <f>'Expenditures 15-22'!D53</f>
        <v>169295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27288</v>
      </c>
      <c r="D797" s="2" t="str">
        <f t="shared" si="11"/>
        <v>Error?</v>
      </c>
    </row>
    <row r="798" spans="1:4" x14ac:dyDescent="0.2">
      <c r="A798" s="5">
        <v>737</v>
      </c>
      <c r="B798" s="138">
        <f>'Expenditures 15-22'!D61</f>
        <v>52359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79647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49396</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9374</v>
      </c>
      <c r="D809" s="2" t="str">
        <f t="shared" si="11"/>
        <v>Error?</v>
      </c>
    </row>
    <row r="810" spans="1:4" x14ac:dyDescent="0.2">
      <c r="A810" s="10">
        <v>749</v>
      </c>
      <c r="D810" s="2" t="str">
        <f t="shared" si="11"/>
        <v>OK</v>
      </c>
    </row>
    <row r="811" spans="1:4" x14ac:dyDescent="0.2">
      <c r="A811" s="5">
        <v>750</v>
      </c>
      <c r="B811" s="138">
        <f>'Expenditures 15-22'!D72</f>
        <v>58770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976541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1382016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16809</v>
      </c>
      <c r="C836" s="2" t="s">
        <v>594</v>
      </c>
      <c r="D836" s="2" t="str">
        <f t="shared" si="12"/>
        <v>Error?</v>
      </c>
    </row>
    <row r="837" spans="1:4" x14ac:dyDescent="0.2">
      <c r="A837" s="5">
        <v>776</v>
      </c>
      <c r="B837" s="138">
        <f>'Expenditures 15-22'!E36</f>
        <v>1530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2077</v>
      </c>
      <c r="D840" s="2" t="str">
        <f t="shared" si="12"/>
        <v>Error?</v>
      </c>
    </row>
    <row r="841" spans="1:4" x14ac:dyDescent="0.2">
      <c r="A841" s="5">
        <v>780</v>
      </c>
      <c r="B841" s="138">
        <f>'Expenditures 15-22'!E40</f>
        <v>30616</v>
      </c>
      <c r="D841" s="2" t="str">
        <f t="shared" si="12"/>
        <v>Error?</v>
      </c>
    </row>
    <row r="842" spans="1:4" x14ac:dyDescent="0.2">
      <c r="A842" s="5">
        <v>781</v>
      </c>
      <c r="B842" s="138">
        <f>'Expenditures 15-22'!E41</f>
        <v>39</v>
      </c>
      <c r="D842" s="2" t="str">
        <f t="shared" si="12"/>
        <v>Error?</v>
      </c>
    </row>
    <row r="843" spans="1:4" x14ac:dyDescent="0.2">
      <c r="A843" s="5">
        <v>782</v>
      </c>
      <c r="B843" s="138">
        <f>'Expenditures 15-22'!E42</f>
        <v>34262</v>
      </c>
      <c r="C843" s="2" t="s">
        <v>594</v>
      </c>
      <c r="D843" s="2" t="str">
        <f t="shared" si="12"/>
        <v>Error?</v>
      </c>
    </row>
    <row r="844" spans="1:4" x14ac:dyDescent="0.2">
      <c r="A844" s="5">
        <v>783</v>
      </c>
      <c r="B844" s="138">
        <f>'Expenditures 15-22'!E44</f>
        <v>47473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3940</v>
      </c>
      <c r="D846" s="2" t="str">
        <f t="shared" si="12"/>
        <v>Error?</v>
      </c>
    </row>
    <row r="847" spans="1:4" x14ac:dyDescent="0.2">
      <c r="A847" s="5">
        <v>786</v>
      </c>
      <c r="B847" s="138">
        <f>'Expenditures 15-22'!E47</f>
        <v>51413</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93874</v>
      </c>
      <c r="D849" s="2" t="str">
        <f t="shared" si="12"/>
        <v>Error?</v>
      </c>
    </row>
    <row r="850" spans="1:4" x14ac:dyDescent="0.2">
      <c r="A850" s="5">
        <v>789</v>
      </c>
      <c r="B850" s="138">
        <f>'Expenditures 15-22'!E53</f>
        <v>149053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6501</v>
      </c>
      <c r="D855" s="2" t="str">
        <f t="shared" si="12"/>
        <v>Error?</v>
      </c>
    </row>
    <row r="856" spans="1:4" x14ac:dyDescent="0.2">
      <c r="A856" s="5">
        <v>795</v>
      </c>
      <c r="B856" s="138">
        <f>'Expenditures 15-22'!E61</f>
        <v>60115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34166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100782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5756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27026</v>
      </c>
      <c r="D867" s="2" t="str">
        <f t="shared" si="12"/>
        <v>Error?</v>
      </c>
    </row>
    <row r="868" spans="1:4" x14ac:dyDescent="0.2">
      <c r="A868" s="10">
        <v>807</v>
      </c>
      <c r="D868" s="2" t="str">
        <f t="shared" si="12"/>
        <v>OK</v>
      </c>
    </row>
    <row r="869" spans="1:4" x14ac:dyDescent="0.2">
      <c r="A869" s="5">
        <v>808</v>
      </c>
      <c r="B869" s="138">
        <f>'Expenditures 15-22'!E72</f>
        <v>32782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368292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388236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11192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856</v>
      </c>
      <c r="D898" s="2" t="str">
        <f t="shared" si="13"/>
        <v>Error?</v>
      </c>
    </row>
    <row r="899" spans="1:4" x14ac:dyDescent="0.2">
      <c r="A899" s="5">
        <v>838</v>
      </c>
      <c r="B899" s="138">
        <f>'Expenditures 15-22'!F40</f>
        <v>7805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8661</v>
      </c>
      <c r="C901" s="2" t="s">
        <v>594</v>
      </c>
      <c r="D901" s="2" t="str">
        <f t="shared" si="13"/>
        <v>Error?</v>
      </c>
    </row>
    <row r="902" spans="1:4" x14ac:dyDescent="0.2">
      <c r="A902" s="5">
        <v>841</v>
      </c>
      <c r="B902" s="138">
        <f>'Expenditures 15-22'!F44</f>
        <v>12775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882</v>
      </c>
      <c r="D904" s="2" t="str">
        <f t="shared" si="13"/>
        <v>Error?</v>
      </c>
    </row>
    <row r="905" spans="1:4" x14ac:dyDescent="0.2">
      <c r="A905" s="5">
        <v>844</v>
      </c>
      <c r="B905" s="138">
        <f>'Expenditures 15-22'!F47</f>
        <v>13657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400</v>
      </c>
      <c r="D907" s="2" t="str">
        <f t="shared" si="13"/>
        <v>Error?</v>
      </c>
    </row>
    <row r="908" spans="1:4" x14ac:dyDescent="0.2">
      <c r="A908" s="5">
        <v>847</v>
      </c>
      <c r="B908" s="138">
        <f>'Expenditures 15-22'!F53</f>
        <v>6691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546</v>
      </c>
      <c r="D913" s="2" t="str">
        <f t="shared" si="13"/>
        <v>Error?</v>
      </c>
    </row>
    <row r="914" spans="1:4" x14ac:dyDescent="0.2">
      <c r="A914" s="5">
        <v>853</v>
      </c>
      <c r="B914" s="138">
        <f>'Expenditures 15-22'!F61</f>
        <v>47451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9200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57197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197</v>
      </c>
      <c r="D922" s="2" t="str">
        <f t="shared" si="13"/>
        <v>Error?</v>
      </c>
    </row>
    <row r="923" spans="1:4" x14ac:dyDescent="0.2">
      <c r="A923" s="5">
        <v>862</v>
      </c>
      <c r="B923" s="138">
        <f>'Expenditures 15-22'!F70</f>
        <v>523</v>
      </c>
      <c r="D923" s="2" t="str">
        <f t="shared" si="13"/>
        <v>Error?</v>
      </c>
    </row>
    <row r="924" spans="1:4" x14ac:dyDescent="0.2">
      <c r="A924" s="10">
        <v>863</v>
      </c>
      <c r="D924" s="2" t="str">
        <f t="shared" si="13"/>
        <v>OK</v>
      </c>
    </row>
    <row r="925" spans="1:4" x14ac:dyDescent="0.2">
      <c r="A925" s="5">
        <v>864</v>
      </c>
      <c r="B925" s="138">
        <f>'Expenditures 15-22'!F71</f>
        <v>4658</v>
      </c>
      <c r="D925" s="2" t="str">
        <f t="shared" si="13"/>
        <v>Error?</v>
      </c>
    </row>
    <row r="926" spans="1:4" x14ac:dyDescent="0.2">
      <c r="A926" s="10">
        <v>865</v>
      </c>
      <c r="D926" s="2" t="str">
        <f t="shared" si="13"/>
        <v>OK</v>
      </c>
    </row>
    <row r="927" spans="1:4" x14ac:dyDescent="0.2">
      <c r="A927" s="5">
        <v>866</v>
      </c>
      <c r="B927" s="138">
        <f>'Expenditures 15-22'!F72</f>
        <v>5378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91584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102776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879</v>
      </c>
      <c r="D956" s="2" t="str">
        <f t="shared" si="13"/>
        <v>Error?</v>
      </c>
    </row>
    <row r="957" spans="1:4" x14ac:dyDescent="0.2">
      <c r="A957" s="5">
        <v>896</v>
      </c>
      <c r="B957" s="138">
        <f>'Expenditures 15-22'!G40</f>
        <v>4279</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5158</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1940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1300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1300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4654</v>
      </c>
      <c r="D983" s="2" t="str">
        <f t="shared" si="14"/>
        <v>Error?</v>
      </c>
    </row>
    <row r="984" spans="1:4" x14ac:dyDescent="0.2">
      <c r="A984" s="10">
        <v>923</v>
      </c>
      <c r="D984" s="2" t="str">
        <f t="shared" si="14"/>
        <v>OK</v>
      </c>
    </row>
    <row r="985" spans="1:4" x14ac:dyDescent="0.2">
      <c r="A985" s="5">
        <v>924</v>
      </c>
      <c r="B985" s="138">
        <f>'Expenditures 15-22'!G72</f>
        <v>4654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13052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13052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11663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11663</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701</v>
      </c>
      <c r="D1023" s="2" t="str">
        <f t="shared" ref="D1023:D1086" si="15">IF(ISBLANK(B1023),"OK",IF(A1023-B1023=0,"OK","Error?"))</f>
        <v>Error?</v>
      </c>
    </row>
    <row r="1024" spans="1:4" x14ac:dyDescent="0.2">
      <c r="A1024" s="5">
        <v>963</v>
      </c>
      <c r="B1024" s="138">
        <f>'Expenditures 15-22'!H53</f>
        <v>3060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14723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4287534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4302257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1286470</v>
      </c>
      <c r="C1108" s="2" t="s">
        <v>594</v>
      </c>
      <c r="D1108" s="2" t="str">
        <f t="shared" si="16"/>
        <v>Error?</v>
      </c>
    </row>
    <row r="1109" spans="1:4" x14ac:dyDescent="0.2">
      <c r="A1109" s="5">
        <v>1048</v>
      </c>
      <c r="B1109" s="138">
        <f>'Expenditures 15-22'!K36</f>
        <v>269303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95356</v>
      </c>
      <c r="C1112" s="2" t="s">
        <v>594</v>
      </c>
      <c r="D1112" s="2" t="str">
        <f t="shared" si="16"/>
        <v>Error?</v>
      </c>
    </row>
    <row r="1113" spans="1:4" x14ac:dyDescent="0.2">
      <c r="A1113" s="5">
        <v>1052</v>
      </c>
      <c r="B1113" s="138">
        <f>'Expenditures 15-22'!K40</f>
        <v>1161445</v>
      </c>
      <c r="C1113" s="2" t="s">
        <v>594</v>
      </c>
      <c r="D1113" s="2" t="str">
        <f t="shared" si="16"/>
        <v>Error?</v>
      </c>
    </row>
    <row r="1114" spans="1:4" x14ac:dyDescent="0.2">
      <c r="A1114" s="5">
        <v>1053</v>
      </c>
      <c r="B1114" s="138">
        <f>'Expenditures 15-22'!K41</f>
        <v>39</v>
      </c>
      <c r="C1114" s="2" t="s">
        <v>594</v>
      </c>
      <c r="D1114" s="2" t="str">
        <f t="shared" si="16"/>
        <v>Error?</v>
      </c>
    </row>
    <row r="1115" spans="1:4" x14ac:dyDescent="0.2">
      <c r="A1115" s="5">
        <v>1054</v>
      </c>
      <c r="B1115" s="138">
        <f>'Expenditures 15-22'!K42</f>
        <v>1526143</v>
      </c>
      <c r="C1115" s="2" t="s">
        <v>594</v>
      </c>
      <c r="D1115" s="2" t="str">
        <f t="shared" si="16"/>
        <v>Error?</v>
      </c>
    </row>
    <row r="1116" spans="1:4" x14ac:dyDescent="0.2">
      <c r="A1116" s="5">
        <v>1055</v>
      </c>
      <c r="B1116" s="138">
        <f>'Expenditures 15-22'!K44</f>
        <v>798555</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190477</v>
      </c>
      <c r="C1118" s="2" t="s">
        <v>594</v>
      </c>
      <c r="D1118" s="2" t="str">
        <f t="shared" si="16"/>
        <v>Error?</v>
      </c>
    </row>
    <row r="1119" spans="1:4" x14ac:dyDescent="0.2">
      <c r="A1119" s="5">
        <v>1058</v>
      </c>
      <c r="B1119" s="138">
        <f>'Expenditures 15-22'!K47</f>
        <v>989032</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532256</v>
      </c>
      <c r="C1121" s="2" t="s">
        <v>594</v>
      </c>
      <c r="D1121" s="2" t="str">
        <f t="shared" si="16"/>
        <v>Error?</v>
      </c>
    </row>
    <row r="1122" spans="1:4" x14ac:dyDescent="0.2">
      <c r="A1122" s="5">
        <v>1061</v>
      </c>
      <c r="B1122" s="138">
        <f>'Expenditures 15-22'!K53</f>
        <v>770750</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99382</v>
      </c>
      <c r="C1127" s="2" t="s">
        <v>594</v>
      </c>
      <c r="D1127" s="2" t="str">
        <f t="shared" si="16"/>
        <v>Error?</v>
      </c>
    </row>
    <row r="1128" spans="1:4" x14ac:dyDescent="0.2">
      <c r="A1128" s="5">
        <v>1067</v>
      </c>
      <c r="B1128" s="138">
        <f>'Expenditures 15-22'!K61</f>
        <v>270808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43366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413556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123393</v>
      </c>
      <c r="C1136" s="2" t="s">
        <v>594</v>
      </c>
      <c r="D1136" s="2" t="str">
        <f t="shared" si="16"/>
        <v>Error?</v>
      </c>
    </row>
    <row r="1137" spans="1:4" x14ac:dyDescent="0.2">
      <c r="A1137" s="5">
        <v>1076</v>
      </c>
      <c r="B1137" s="138">
        <f>'Expenditures 15-22'!K70</f>
        <v>523</v>
      </c>
      <c r="C1137" s="2" t="s">
        <v>594</v>
      </c>
      <c r="D1137" s="2" t="str">
        <f t="shared" si="16"/>
        <v>Error?</v>
      </c>
    </row>
    <row r="1138" spans="1:4" x14ac:dyDescent="0.2">
      <c r="A1138" s="10">
        <v>1077</v>
      </c>
      <c r="D1138" s="2" t="str">
        <f t="shared" si="16"/>
        <v>OK</v>
      </c>
    </row>
    <row r="1139" spans="1:4" x14ac:dyDescent="0.2">
      <c r="A1139" s="5">
        <v>1078</v>
      </c>
      <c r="B1139" s="138">
        <f>'Expenditures 15-22'!K71</f>
        <v>68455</v>
      </c>
      <c r="C1139" s="2" t="s">
        <v>594</v>
      </c>
      <c r="D1139" s="2" t="str">
        <f t="shared" si="16"/>
        <v>Error?</v>
      </c>
    </row>
    <row r="1140" spans="1:4" x14ac:dyDescent="0.2">
      <c r="A1140" s="10">
        <v>1079</v>
      </c>
      <c r="D1140" s="2" t="str">
        <f t="shared" si="16"/>
        <v>OK</v>
      </c>
    </row>
    <row r="1141" spans="1:4" x14ac:dyDescent="0.2">
      <c r="A1141" s="5">
        <v>1080</v>
      </c>
      <c r="B1141" s="138">
        <f>'Expenditures 15-22'!K72</f>
        <v>192371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3891852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4290669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9468991</v>
      </c>
      <c r="C1152" s="2" t="s">
        <v>594</v>
      </c>
      <c r="D1152" s="2" t="str">
        <f t="shared" si="17"/>
        <v>Error?</v>
      </c>
    </row>
    <row r="1153" spans="1:4" x14ac:dyDescent="0.2">
      <c r="A1153" s="5">
        <v>1092</v>
      </c>
      <c r="B1153" s="138">
        <f>'Expenditures 15-22'!K115</f>
        <v>82189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878032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960221</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35000</v>
      </c>
      <c r="D2008" s="2" t="str">
        <f t="shared" si="30"/>
        <v>Error?</v>
      </c>
    </row>
    <row r="2009" spans="1:4" x14ac:dyDescent="0.2">
      <c r="A2009" s="5">
        <v>1948</v>
      </c>
      <c r="B2009" s="138">
        <f>'Cap Outlay Deprec 26'!C8</f>
        <v>2311384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297896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2758722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3749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3749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35000</v>
      </c>
      <c r="C2026" s="2" t="s">
        <v>594</v>
      </c>
      <c r="D2026" s="2" t="str">
        <f t="shared" si="30"/>
        <v>Error?</v>
      </c>
    </row>
    <row r="2027" spans="1:4" x14ac:dyDescent="0.2">
      <c r="A2027" s="5">
        <v>1966</v>
      </c>
      <c r="B2027" s="138">
        <f>'Cap Outlay Deprec 26'!F8</f>
        <v>2311384</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301645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2762471</v>
      </c>
      <c r="C2031" s="2" t="s">
        <v>594</v>
      </c>
      <c r="D2031" s="2" t="str">
        <f t="shared" si="30"/>
        <v>Error?</v>
      </c>
    </row>
    <row r="2032" spans="1:4" x14ac:dyDescent="0.2">
      <c r="A2032" s="10">
        <v>1971</v>
      </c>
      <c r="D2032" s="2" t="str">
        <f t="shared" si="30"/>
        <v>OK</v>
      </c>
    </row>
    <row r="2033" spans="1:4" x14ac:dyDescent="0.2">
      <c r="A2033" s="5">
        <v>1972</v>
      </c>
      <c r="B2033" s="138">
        <f>'Cap Outlay Deprec 26'!H8</f>
        <v>467669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199962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769767</v>
      </c>
      <c r="C2037" s="2" t="s">
        <v>594</v>
      </c>
      <c r="D2037" s="2" t="str">
        <f t="shared" si="30"/>
        <v>Error?</v>
      </c>
    </row>
    <row r="2038" spans="1:4" x14ac:dyDescent="0.2">
      <c r="A2038" s="10">
        <v>1977</v>
      </c>
      <c r="D2038" s="2" t="str">
        <f t="shared" si="30"/>
        <v>OK</v>
      </c>
    </row>
    <row r="2039" spans="1:4" x14ac:dyDescent="0.2">
      <c r="A2039" s="5">
        <v>1978</v>
      </c>
      <c r="B2039" s="138">
        <f>'Cap Outlay Deprec 26'!I8</f>
        <v>51867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27449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91443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519536</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227411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861210</v>
      </c>
      <c r="C2055" s="2" t="s">
        <v>594</v>
      </c>
      <c r="D2055" s="2" t="str">
        <f t="shared" si="31"/>
        <v>Error?</v>
      </c>
    </row>
    <row r="2056" spans="1:4" x14ac:dyDescent="0.2">
      <c r="A2056" s="5">
        <v>1995</v>
      </c>
      <c r="B2056" s="138">
        <f>'Cap Outlay Deprec 26'!L5</f>
        <v>35000</v>
      </c>
      <c r="C2056" s="2" t="s">
        <v>594</v>
      </c>
      <c r="D2056" s="2" t="str">
        <f t="shared" si="31"/>
        <v>Error?</v>
      </c>
    </row>
    <row r="2057" spans="1:4" x14ac:dyDescent="0.2">
      <c r="A2057" s="5">
        <v>1996</v>
      </c>
      <c r="B2057" s="138">
        <f>'Cap Outlay Deprec 26'!L8</f>
        <v>1791848</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74234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1901261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4287534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4290669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3940550</v>
      </c>
      <c r="C2551" s="2" t="s">
        <v>594</v>
      </c>
      <c r="D2551" s="2" t="str">
        <f t="shared" si="38"/>
        <v>Error?</v>
      </c>
    </row>
    <row r="2552" spans="1:4" x14ac:dyDescent="0.2">
      <c r="A2552" s="10">
        <v>2491</v>
      </c>
      <c r="D2552" s="2" t="str">
        <f t="shared" si="38"/>
        <v>OK</v>
      </c>
    </row>
    <row r="2553" spans="1:4" x14ac:dyDescent="0.2">
      <c r="A2553" s="5">
        <v>2492</v>
      </c>
      <c r="B2553" s="138">
        <f>'Acct Summary 7-8'!C6</f>
        <v>579137</v>
      </c>
      <c r="C2553" s="2" t="s">
        <v>594</v>
      </c>
      <c r="D2553" s="2" t="str">
        <f t="shared" si="38"/>
        <v>Error?</v>
      </c>
    </row>
    <row r="2554" spans="1:4" x14ac:dyDescent="0.2">
      <c r="A2554" s="5">
        <v>2493</v>
      </c>
      <c r="B2554" s="138">
        <f>'Acct Summary 7-8'!C7</f>
        <v>3945305</v>
      </c>
      <c r="C2554" s="2" t="s">
        <v>594</v>
      </c>
      <c r="D2554" s="2" t="str">
        <f t="shared" si="38"/>
        <v>Error?</v>
      </c>
    </row>
    <row r="2555" spans="1:4" x14ac:dyDescent="0.2">
      <c r="A2555" s="5">
        <v>2494</v>
      </c>
      <c r="B2555" s="138">
        <f>'Acct Summary 7-8'!C8</f>
        <v>9551180</v>
      </c>
      <c r="C2555" s="2" t="s">
        <v>594</v>
      </c>
      <c r="D2555" s="2" t="str">
        <f t="shared" si="38"/>
        <v>Error?</v>
      </c>
    </row>
    <row r="2556" spans="1:4" x14ac:dyDescent="0.2">
      <c r="A2556" s="5">
        <v>2495</v>
      </c>
      <c r="B2556" s="138">
        <f>'Acct Summary 7-8'!C12</f>
        <v>1286470</v>
      </c>
      <c r="C2556" s="2" t="s">
        <v>594</v>
      </c>
      <c r="D2556" s="2" t="str">
        <f t="shared" si="38"/>
        <v>Error?</v>
      </c>
    </row>
    <row r="2557" spans="1:4" x14ac:dyDescent="0.2">
      <c r="A2557" s="5">
        <v>2496</v>
      </c>
      <c r="B2557" s="138">
        <f>'Acct Summary 7-8'!C13</f>
        <v>3891852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4290669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9468991</v>
      </c>
      <c r="C2561" s="2" t="s">
        <v>594</v>
      </c>
      <c r="D2561" s="2" t="str">
        <f t="shared" si="39"/>
        <v>Error?</v>
      </c>
    </row>
    <row r="2562" spans="1:4" x14ac:dyDescent="0.2">
      <c r="A2562" s="5">
        <v>2501</v>
      </c>
      <c r="B2562" s="138">
        <f>'Acct Summary 7-8'!C20</f>
        <v>82189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123799</v>
      </c>
      <c r="D2718" s="2" t="str">
        <f t="shared" si="41"/>
        <v>Error?</v>
      </c>
    </row>
    <row r="2719" spans="1:4" x14ac:dyDescent="0.2">
      <c r="A2719" s="5">
        <v>2658</v>
      </c>
      <c r="B2719" s="138">
        <f>'Expenditures 15-22'!D51</f>
        <v>48926</v>
      </c>
      <c r="D2719" s="2" t="str">
        <f t="shared" si="41"/>
        <v>Error?</v>
      </c>
    </row>
    <row r="2720" spans="1:4" x14ac:dyDescent="0.2">
      <c r="A2720" s="5">
        <v>2659</v>
      </c>
      <c r="B2720" s="138">
        <f>'Expenditures 15-22'!E51</f>
        <v>55179</v>
      </c>
      <c r="D2720" s="2" t="str">
        <f t="shared" si="41"/>
        <v>Error?</v>
      </c>
    </row>
    <row r="2721" spans="1:4" x14ac:dyDescent="0.2">
      <c r="A2721" s="5">
        <v>2660</v>
      </c>
      <c r="B2721" s="138">
        <f>'Expenditures 15-22'!F51</f>
        <v>6291</v>
      </c>
      <c r="D2721" s="2" t="str">
        <f t="shared" si="41"/>
        <v>Error?</v>
      </c>
    </row>
    <row r="2722" spans="1:4" x14ac:dyDescent="0.2">
      <c r="A2722" s="5">
        <v>2661</v>
      </c>
      <c r="B2722" s="138">
        <f>'Expenditures 15-22'!G51</f>
        <v>1940</v>
      </c>
      <c r="D2722" s="2" t="str">
        <f t="shared" si="41"/>
        <v>Error?</v>
      </c>
    </row>
    <row r="2723" spans="1:4" x14ac:dyDescent="0.2">
      <c r="A2723" s="5">
        <v>2662</v>
      </c>
      <c r="B2723" s="138">
        <f>'Expenditures 15-22'!H51</f>
        <v>2359</v>
      </c>
      <c r="D2723" s="2" t="str">
        <f t="shared" si="41"/>
        <v>Error?</v>
      </c>
    </row>
    <row r="2724" spans="1:4" x14ac:dyDescent="0.2">
      <c r="A2724" s="5">
        <v>2663</v>
      </c>
      <c r="B2724" s="138">
        <f>'Expenditures 15-22'!K51</f>
        <v>238494</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3135</v>
      </c>
      <c r="C2789" s="2" t="s">
        <v>594</v>
      </c>
      <c r="D2789" s="2" t="str">
        <f t="shared" si="42"/>
        <v>Error?</v>
      </c>
    </row>
    <row r="2790" spans="1:4" x14ac:dyDescent="0.2">
      <c r="A2790" s="5">
        <v>2729</v>
      </c>
      <c r="B2790" s="138">
        <f>'Expenditures 15-22'!E102</f>
        <v>3135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5298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5298</v>
      </c>
      <c r="D2914" s="2" t="str">
        <f t="shared" si="44"/>
        <v>Error?</v>
      </c>
    </row>
    <row r="2915" spans="1:4" x14ac:dyDescent="0.2">
      <c r="A2915" s="10">
        <v>2854</v>
      </c>
      <c r="D2915" s="2" t="str">
        <f t="shared" si="44"/>
        <v>OK</v>
      </c>
    </row>
    <row r="2916" spans="1:4" x14ac:dyDescent="0.2">
      <c r="A2916" s="5">
        <v>2855</v>
      </c>
      <c r="B2916" s="138">
        <f>'Assets-Liab 5-6'!L34</f>
        <v>5298</v>
      </c>
      <c r="C2916" s="2" t="s">
        <v>594</v>
      </c>
      <c r="D2916" s="2" t="str">
        <f t="shared" si="44"/>
        <v>Error?</v>
      </c>
    </row>
    <row r="2917" spans="1:4" x14ac:dyDescent="0.2">
      <c r="A2917" s="5">
        <v>2856</v>
      </c>
      <c r="B2917" s="138">
        <f>'Assets-Liab 5-6'!L41</f>
        <v>5298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3135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4287534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4290669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82189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852994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405475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16809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11192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1286470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1086188</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1260197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5298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39257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278789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9829969</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278789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9747780</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960221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14825</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27557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71473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3815324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3815324</v>
      </c>
      <c r="C5087" s="2" t="s">
        <v>594</v>
      </c>
      <c r="D5087" s="2" t="str">
        <f t="shared" si="78"/>
        <v>Error?</v>
      </c>
    </row>
    <row r="5088" spans="1:4" x14ac:dyDescent="0.2">
      <c r="A5088" s="5">
        <v>5027</v>
      </c>
      <c r="B5088" s="138">
        <f>'Revenues 9-14'!C65</f>
        <v>6143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6143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33180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22440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63463</v>
      </c>
      <c r="D5119" s="2" t="str">
        <f t="shared" ref="D5119:D5182" si="79">IF(ISBLANK(B5119),"OK",IF(A5119-B5119=0,"OK","Error?"))</f>
        <v>Error?</v>
      </c>
    </row>
    <row r="5120" spans="1:4" x14ac:dyDescent="0.2">
      <c r="A5120" s="5">
        <v>5059</v>
      </c>
      <c r="B5120" s="138">
        <f>'Revenues 9-14'!C108</f>
        <v>119083</v>
      </c>
      <c r="C5120" s="2" t="s">
        <v>594</v>
      </c>
      <c r="D5120" s="2" t="str">
        <f t="shared" si="79"/>
        <v>Error?</v>
      </c>
    </row>
    <row r="5121" spans="1:4" x14ac:dyDescent="0.2">
      <c r="A5121" s="5">
        <v>5060</v>
      </c>
      <c r="B5121" s="138">
        <f>'Revenues 9-14'!C109</f>
        <v>3940550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1086188</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1086188</v>
      </c>
      <c r="C5125" s="2" t="s">
        <v>594</v>
      </c>
      <c r="D5125" s="2" t="str">
        <f t="shared" si="79"/>
        <v>Error?</v>
      </c>
    </row>
    <row r="5126" spans="1:4" x14ac:dyDescent="0.2">
      <c r="A5126" s="5">
        <v>5065</v>
      </c>
      <c r="B5126" s="138">
        <f>'Revenues 9-14'!C117</f>
        <v>375766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375766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187883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202708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663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203371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579137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25234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14023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39257</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134947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3672071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3807018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3945305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3945305</v>
      </c>
      <c r="C5326" s="2" t="s">
        <v>594</v>
      </c>
      <c r="D5326" s="2" t="str">
        <f t="shared" si="82"/>
        <v>Error?</v>
      </c>
    </row>
    <row r="5327" spans="1:4" x14ac:dyDescent="0.2">
      <c r="A5327" s="5">
        <v>5266</v>
      </c>
      <c r="B5327" s="138">
        <f>'Revenues 9-14'!C275</f>
        <v>9551180</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3219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287894</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82189</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8.5593837252049262E-2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114442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114442</v>
      </c>
      <c r="D7618" s="2" t="str">
        <f t="shared" si="124"/>
        <v>Error?</v>
      </c>
      <c r="E7618" s="2" t="s">
        <v>19</v>
      </c>
    </row>
    <row r="7619" spans="1:5" x14ac:dyDescent="0.2">
      <c r="A7619">
        <f t="shared" si="123"/>
        <v>7558</v>
      </c>
      <c r="B7619" s="138">
        <f>'Cap Outlay Deprec 26'!H14</f>
        <v>102136</v>
      </c>
      <c r="D7619" s="2" t="str">
        <f t="shared" si="124"/>
        <v>Error?</v>
      </c>
      <c r="E7619" s="2" t="s">
        <v>19</v>
      </c>
    </row>
    <row r="7620" spans="1:5" x14ac:dyDescent="0.2">
      <c r="A7620">
        <f t="shared" si="123"/>
        <v>7559</v>
      </c>
      <c r="B7620" s="138">
        <f>'Cap Outlay Deprec 26'!I14</f>
        <v>12127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114263</v>
      </c>
      <c r="D7622" s="2" t="str">
        <f t="shared" si="124"/>
        <v>Error?</v>
      </c>
      <c r="E7622" s="2" t="s">
        <v>19</v>
      </c>
    </row>
    <row r="7623" spans="1:5" x14ac:dyDescent="0.2">
      <c r="A7623">
        <f t="shared" si="123"/>
        <v>7562</v>
      </c>
      <c r="B7623" s="138">
        <f>'Cap Outlay Deprec 26'!L14</f>
        <v>179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91443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31764</v>
      </c>
      <c r="D7797" s="2" t="str">
        <f t="shared" si="127"/>
        <v>Error?</v>
      </c>
      <c r="E7797" s="4" t="s">
        <v>2016</v>
      </c>
    </row>
    <row r="7798" spans="1:5" x14ac:dyDescent="0.2">
      <c r="A7798">
        <v>7737</v>
      </c>
      <c r="B7798" s="138">
        <f>'Contracts Paid in CY 29'!F141</f>
        <v>31764</v>
      </c>
      <c r="D7798" s="2" t="str">
        <f t="shared" si="127"/>
        <v>Error?</v>
      </c>
      <c r="E7798" s="4" t="s">
        <v>2016</v>
      </c>
    </row>
    <row r="7799" spans="1:5" x14ac:dyDescent="0.2">
      <c r="A7799">
        <v>7738</v>
      </c>
      <c r="B7799" s="138">
        <f>'Contracts Paid in CY 29'!G141</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38" sqref="B3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LaSalle Putnam Alliance</v>
      </c>
      <c r="B7" s="2403"/>
      <c r="C7" s="2403"/>
      <c r="D7" s="2440"/>
      <c r="E7" s="2441">
        <f>COVER!A13</f>
        <v>35050000061</v>
      </c>
      <c r="F7" s="2442"/>
      <c r="G7" s="2409" t="str">
        <f>COVER!T23</f>
        <v>066-005100</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MACK &amp; ASSOCIATES, P.C.</v>
      </c>
      <c r="H9" s="2416"/>
      <c r="I9" s="2416"/>
      <c r="J9" s="2416"/>
      <c r="K9" s="2416"/>
      <c r="L9" s="2417"/>
    </row>
    <row r="10" spans="1:29" ht="13.5" customHeight="1" x14ac:dyDescent="0.2">
      <c r="A10" s="2399" t="str">
        <f>COVER!A38</f>
        <v>MARY JANE CHAPMAN</v>
      </c>
      <c r="B10" s="2400"/>
      <c r="C10" s="2400"/>
      <c r="D10" s="2400"/>
      <c r="E10" s="2400"/>
      <c r="F10" s="2401"/>
      <c r="G10" s="2415" t="str">
        <f>COVER!T17</f>
        <v xml:space="preserve">116 E WASHINGTON ST., SUITE ONE </v>
      </c>
      <c r="H10" s="2428"/>
      <c r="I10" s="2428"/>
      <c r="J10" s="2428"/>
      <c r="K10" s="2428"/>
      <c r="L10" s="2429"/>
    </row>
    <row r="11" spans="1:29" ht="13.5" customHeight="1" x14ac:dyDescent="0.2">
      <c r="A11" s="1185" t="s">
        <v>1599</v>
      </c>
      <c r="B11" s="1186"/>
      <c r="C11" s="1187"/>
      <c r="D11" s="1192"/>
      <c r="E11" s="1187"/>
      <c r="F11" s="1191"/>
      <c r="G11" s="2415" t="str">
        <f>COVER!T19</f>
        <v>MORRIS</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tmack@mackcpas.com</v>
      </c>
      <c r="J13" s="2437"/>
      <c r="K13" s="2437"/>
      <c r="L13" s="2438"/>
    </row>
    <row r="14" spans="1:29" ht="13.5" customHeight="1" x14ac:dyDescent="0.2">
      <c r="A14" s="2415" t="str">
        <f>COVER!A19</f>
        <v>1009 BOYCE MEMORIAL DRIVE</v>
      </c>
      <c r="B14" s="2428"/>
      <c r="C14" s="2428"/>
      <c r="D14" s="2428"/>
      <c r="E14" s="2428"/>
      <c r="F14" s="2429"/>
      <c r="G14" s="1196" t="s">
        <v>1247</v>
      </c>
      <c r="H14" s="1194"/>
      <c r="I14" s="1194"/>
      <c r="J14" s="1194"/>
      <c r="K14" s="1194"/>
      <c r="L14" s="1195"/>
    </row>
    <row r="15" spans="1:29" ht="13.5" customHeight="1" x14ac:dyDescent="0.2">
      <c r="A15" s="2415" t="str">
        <f>COVER!A21</f>
        <v>OTTAWA</v>
      </c>
      <c r="B15" s="2428"/>
      <c r="C15" s="2428"/>
      <c r="D15" s="2428"/>
      <c r="E15" s="2428"/>
      <c r="F15" s="2429"/>
      <c r="G15" s="2425" t="str">
        <f>COVER!T15</f>
        <v>TAWNYA MACK, CPA</v>
      </c>
      <c r="H15" s="2426"/>
      <c r="I15" s="2426"/>
      <c r="J15" s="2426"/>
      <c r="K15" s="2426"/>
      <c r="L15" s="2427"/>
    </row>
    <row r="16" spans="1:29" ht="12.2" customHeight="1" x14ac:dyDescent="0.2">
      <c r="A16" s="2405">
        <f>COVER!A25</f>
        <v>61350</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815-942-3306</v>
      </c>
      <c r="H18" s="2403"/>
      <c r="I18" s="2403"/>
      <c r="J18" s="2403"/>
      <c r="K18" s="2402" t="str">
        <f>COVER!X21</f>
        <v>815-942-9430</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2094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2094</v>
      </c>
      <c r="C26" s="1203" t="s">
        <v>1801</v>
      </c>
    </row>
    <row r="27" spans="1:13" s="1199" customFormat="1" ht="9" customHeight="1" x14ac:dyDescent="0.2">
      <c r="B27" s="1204"/>
      <c r="C27" s="1203"/>
    </row>
    <row r="28" spans="1:13" s="1199" customFormat="1" ht="12.2" customHeight="1" x14ac:dyDescent="0.2">
      <c r="A28" s="1206"/>
      <c r="B28" s="1202" t="s">
        <v>2094</v>
      </c>
      <c r="C28" s="1203" t="s">
        <v>1802</v>
      </c>
    </row>
    <row r="29" spans="1:13" s="1199" customFormat="1" ht="9" customHeight="1" x14ac:dyDescent="0.2">
      <c r="A29" s="1206"/>
      <c r="B29" s="1204"/>
      <c r="C29" s="1203"/>
    </row>
    <row r="30" spans="1:13" s="1199" customFormat="1" ht="12.2" customHeight="1" x14ac:dyDescent="0.2">
      <c r="B30" s="1202" t="s">
        <v>2094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2094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2094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2094</v>
      </c>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LaSalle Putnam Alliance</v>
      </c>
      <c r="B1" s="2439"/>
      <c r="C1" s="2439"/>
      <c r="D1" s="2439"/>
    </row>
    <row r="2" spans="1:11" s="1215" customFormat="1" ht="12.75" x14ac:dyDescent="0.2">
      <c r="A2" s="2444">
        <f>'Single Audit Cover'!E7</f>
        <v>35050000061</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LaSalle Putnam Alliance</v>
      </c>
      <c r="B1" s="2447"/>
      <c r="C1" s="2447"/>
      <c r="D1" s="2447"/>
      <c r="E1" s="2447"/>
    </row>
    <row r="2" spans="1:5" x14ac:dyDescent="0.2">
      <c r="A2" s="2448">
        <f>'Single Audit Cover'!E7</f>
        <v>35050000061</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3945305</v>
      </c>
    </row>
    <row r="11" spans="1:5" ht="18" customHeight="1" x14ac:dyDescent="0.2">
      <c r="A11" s="1261" t="s">
        <v>1302</v>
      </c>
      <c r="B11" s="1262"/>
      <c r="C11" s="1262"/>
    </row>
    <row r="12" spans="1:5" x14ac:dyDescent="0.2">
      <c r="A12" s="1261" t="s">
        <v>1301</v>
      </c>
      <c r="B12" s="1262" t="s">
        <v>1300</v>
      </c>
      <c r="C12" s="1262"/>
      <c r="D12" s="1264">
        <f>SUM('Revenues 9-14'!C112:D112,'Revenues 9-14'!F112:G112)</f>
        <v>1086188</v>
      </c>
    </row>
    <row r="13" spans="1:5" x14ac:dyDescent="0.2">
      <c r="A13" s="1261" t="s">
        <v>1299</v>
      </c>
      <c r="B13" s="1262"/>
      <c r="C13" s="1262"/>
    </row>
    <row r="14" spans="1:5" x14ac:dyDescent="0.2">
      <c r="A14" s="1261" t="s">
        <v>1830</v>
      </c>
      <c r="B14" s="1262"/>
      <c r="C14" s="1262"/>
      <c r="D14" s="1264">
        <f>'ICR Computation 30'!E11</f>
        <v>3219</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-71473</v>
      </c>
    </row>
    <row r="19" spans="1:4" ht="13.5" thickBot="1" x14ac:dyDescent="0.25">
      <c r="A19" s="1265" t="s">
        <v>1297</v>
      </c>
      <c r="D19" s="1266">
        <f>SUM(D10:D17)</f>
        <v>4963239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t="s">
        <v>2103</v>
      </c>
      <c r="B24" s="2449"/>
      <c r="D24" s="1268">
        <v>-1086188</v>
      </c>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3877051</v>
      </c>
    </row>
    <row r="33" spans="1:4" x14ac:dyDescent="0.2">
      <c r="D33" s="1269"/>
    </row>
    <row r="34" spans="1:4" x14ac:dyDescent="0.2">
      <c r="A34" s="317" t="s">
        <v>1294</v>
      </c>
    </row>
    <row r="35" spans="1:4" x14ac:dyDescent="0.2">
      <c r="A35" s="317" t="s">
        <v>1293</v>
      </c>
      <c r="B35" s="1258" t="s">
        <v>1292</v>
      </c>
      <c r="D35" s="1270">
        <v>3877051</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3877051</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19" sqref="B1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LaSalle Putnam Alliance</v>
      </c>
      <c r="B1" s="2452"/>
      <c r="C1" s="2452"/>
      <c r="D1" s="2452"/>
      <c r="E1" s="2452"/>
      <c r="F1" s="2452"/>
    </row>
    <row r="2" spans="1:7" ht="13.5" customHeight="1" x14ac:dyDescent="0.2">
      <c r="A2" s="2453">
        <f>'Single Audit Cover'!E7</f>
        <v>35050000061</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2104</v>
      </c>
      <c r="B7" s="2451"/>
      <c r="C7" s="2451"/>
      <c r="D7" s="2451"/>
      <c r="E7" s="2451"/>
      <c r="F7" s="245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2105</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t="s">
        <v>2106</v>
      </c>
      <c r="C17" s="1285" t="s">
        <v>2107</v>
      </c>
      <c r="D17" s="2456">
        <v>2910805</v>
      </c>
      <c r="E17" s="2456"/>
      <c r="F17" s="2456"/>
    </row>
    <row r="18" spans="1:6" ht="20.65" customHeight="1" x14ac:dyDescent="0.2">
      <c r="A18" s="1283"/>
      <c r="B18" s="1284" t="s">
        <v>2106</v>
      </c>
      <c r="C18" s="1285" t="s">
        <v>2112</v>
      </c>
      <c r="D18" s="2456">
        <v>4277</v>
      </c>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2108</v>
      </c>
      <c r="B32" s="2460"/>
      <c r="C32" s="2460"/>
      <c r="D32" s="2460"/>
      <c r="E32" s="2460"/>
      <c r="F32" s="2460"/>
    </row>
    <row r="33" spans="1:6" ht="13.5" customHeight="1" x14ac:dyDescent="0.2">
      <c r="A33" s="328" t="s">
        <v>1509</v>
      </c>
      <c r="B33" s="328"/>
      <c r="C33" s="1288">
        <v>3219</v>
      </c>
      <c r="D33" s="1928"/>
      <c r="E33" s="1286"/>
    </row>
    <row r="34" spans="1:6" ht="13.5" customHeight="1" x14ac:dyDescent="0.2">
      <c r="A34" s="328" t="s">
        <v>1945</v>
      </c>
      <c r="B34" s="328"/>
      <c r="C34" s="1289">
        <v>0</v>
      </c>
      <c r="D34" s="1928" t="s">
        <v>1671</v>
      </c>
      <c r="E34" s="2461">
        <f>+C33+C34</f>
        <v>3219</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593</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4" sqref="I2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LaSalle Putnam Alliance</v>
      </c>
      <c r="C1" s="2464"/>
      <c r="D1" s="2464"/>
      <c r="E1" s="2464"/>
      <c r="F1" s="2464"/>
      <c r="G1" s="2464"/>
      <c r="H1" s="2464"/>
      <c r="I1" s="2464"/>
      <c r="J1" s="2464"/>
      <c r="K1" s="2464"/>
      <c r="L1" s="2464"/>
      <c r="M1" s="2464"/>
    </row>
    <row r="2" spans="2:14" ht="15" x14ac:dyDescent="0.2">
      <c r="B2" s="2453">
        <f>'Single Audit Cover'!E7</f>
        <v>35050000061</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2109</v>
      </c>
      <c r="C11" s="1338"/>
      <c r="D11" s="1339"/>
      <c r="E11" s="1340"/>
      <c r="F11" s="1340"/>
      <c r="G11" s="1340"/>
      <c r="H11" s="1340"/>
      <c r="I11" s="1340"/>
      <c r="J11" s="1340"/>
      <c r="K11" s="1340"/>
      <c r="L11" s="1340">
        <f>+G11+I11+K11</f>
        <v>0</v>
      </c>
      <c r="M11" s="1340"/>
    </row>
    <row r="12" spans="2:14" ht="20.100000000000001" customHeight="1" x14ac:dyDescent="0.2">
      <c r="B12" s="1337" t="s">
        <v>2110</v>
      </c>
      <c r="C12" s="1341"/>
      <c r="D12" s="1342"/>
      <c r="E12" s="1343"/>
      <c r="F12" s="1343"/>
      <c r="G12" s="1343"/>
      <c r="H12" s="1343"/>
      <c r="I12" s="1343"/>
      <c r="J12" s="1343"/>
      <c r="K12" s="1343"/>
      <c r="L12" s="1340">
        <f t="shared" ref="L12:L27" si="0">+G12+I12+K12</f>
        <v>0</v>
      </c>
      <c r="M12" s="1343"/>
    </row>
    <row r="13" spans="2:14" ht="20.100000000000001" customHeight="1" x14ac:dyDescent="0.2">
      <c r="B13" s="1337" t="s">
        <v>2111</v>
      </c>
      <c r="C13" s="1341" t="s">
        <v>2112</v>
      </c>
      <c r="D13" s="1342" t="s">
        <v>2113</v>
      </c>
      <c r="E13" s="1343">
        <v>140084</v>
      </c>
      <c r="F13" s="1343">
        <v>19598</v>
      </c>
      <c r="G13" s="1343">
        <v>159989</v>
      </c>
      <c r="H13" s="1343">
        <v>5566</v>
      </c>
      <c r="I13" s="1343"/>
      <c r="J13" s="1343"/>
      <c r="K13" s="1343"/>
      <c r="L13" s="1340">
        <f t="shared" si="0"/>
        <v>159989</v>
      </c>
      <c r="M13" s="1343">
        <v>176205</v>
      </c>
    </row>
    <row r="14" spans="2:14" ht="20.100000000000001" customHeight="1" x14ac:dyDescent="0.2">
      <c r="B14" s="1337" t="s">
        <v>2114</v>
      </c>
      <c r="C14" s="1341" t="s">
        <v>2112</v>
      </c>
      <c r="D14" s="1342" t="s">
        <v>2115</v>
      </c>
      <c r="E14" s="1343"/>
      <c r="F14" s="1343">
        <v>115349</v>
      </c>
      <c r="G14" s="1343"/>
      <c r="H14" s="1343"/>
      <c r="I14" s="1343">
        <v>137549</v>
      </c>
      <c r="J14" s="1343">
        <v>4277</v>
      </c>
      <c r="K14" s="1343"/>
      <c r="L14" s="1340">
        <f t="shared" si="0"/>
        <v>137549</v>
      </c>
      <c r="M14" s="1343">
        <v>174158</v>
      </c>
    </row>
    <row r="15" spans="2:14" ht="20.100000000000001" customHeight="1" x14ac:dyDescent="0.2">
      <c r="B15" s="1337" t="s">
        <v>2117</v>
      </c>
      <c r="C15" s="1341" t="s">
        <v>2107</v>
      </c>
      <c r="D15" s="1342" t="s">
        <v>2116</v>
      </c>
      <c r="E15" s="1343">
        <v>3823206</v>
      </c>
      <c r="F15" s="1343">
        <v>31778</v>
      </c>
      <c r="G15" s="1343">
        <v>3867404</v>
      </c>
      <c r="H15" s="1343">
        <v>2461410</v>
      </c>
      <c r="I15" s="1343"/>
      <c r="J15" s="1343"/>
      <c r="K15" s="1343"/>
      <c r="L15" s="1340">
        <f t="shared" si="0"/>
        <v>3867404</v>
      </c>
      <c r="M15" s="1343">
        <v>4388859</v>
      </c>
    </row>
    <row r="16" spans="2:14" ht="20.100000000000001" customHeight="1" x14ac:dyDescent="0.2">
      <c r="B16" s="1337" t="s">
        <v>2118</v>
      </c>
      <c r="C16" s="1341" t="s">
        <v>2107</v>
      </c>
      <c r="D16" s="1342" t="s">
        <v>2119</v>
      </c>
      <c r="E16" s="1343"/>
      <c r="F16" s="1343">
        <v>3640293</v>
      </c>
      <c r="G16" s="1343"/>
      <c r="H16" s="1343"/>
      <c r="I16" s="1343">
        <v>3856775</v>
      </c>
      <c r="J16" s="1343">
        <v>2910805</v>
      </c>
      <c r="K16" s="1343"/>
      <c r="L16" s="1340">
        <f t="shared" si="0"/>
        <v>3856775</v>
      </c>
      <c r="M16" s="1343">
        <v>7295088</v>
      </c>
    </row>
    <row r="17" spans="2:14" ht="20.100000000000001" customHeight="1" x14ac:dyDescent="0.2">
      <c r="B17" s="1337" t="s">
        <v>2120</v>
      </c>
      <c r="C17" s="1341"/>
      <c r="D17" s="1342"/>
      <c r="E17" s="1343">
        <f>+SUM(E13:E16)</f>
        <v>3963290</v>
      </c>
      <c r="F17" s="1343">
        <f>SUM(F13:F16)</f>
        <v>3807018</v>
      </c>
      <c r="G17" s="1343">
        <f>SUM(G13:G16)</f>
        <v>4027393</v>
      </c>
      <c r="H17" s="1343">
        <f>SUM(H13:H16)</f>
        <v>2466976</v>
      </c>
      <c r="I17" s="1343">
        <f>SUM(I13:I16)</f>
        <v>3994324</v>
      </c>
      <c r="J17" s="1343">
        <f>SUM(J13:J16)</f>
        <v>2915082</v>
      </c>
      <c r="K17" s="1343"/>
      <c r="L17" s="1340">
        <f t="shared" si="0"/>
        <v>8021717</v>
      </c>
      <c r="M17" s="1343">
        <f>SUM(M13:M16)</f>
        <v>12034310</v>
      </c>
    </row>
    <row r="18" spans="2:14" ht="20.100000000000001" customHeight="1" x14ac:dyDescent="0.2">
      <c r="B18" s="1337" t="s">
        <v>2121</v>
      </c>
      <c r="C18" s="1341"/>
      <c r="D18" s="1342"/>
      <c r="E18" s="1343"/>
      <c r="F18" s="1343"/>
      <c r="G18" s="1343"/>
      <c r="H18" s="1343"/>
      <c r="I18" s="1343"/>
      <c r="J18" s="1343"/>
      <c r="K18" s="1343"/>
      <c r="L18" s="1340">
        <f t="shared" si="0"/>
        <v>0</v>
      </c>
      <c r="M18" s="1343"/>
    </row>
    <row r="19" spans="2:14" ht="20.100000000000001" customHeight="1" x14ac:dyDescent="0.2">
      <c r="B19" s="1337" t="s">
        <v>2110</v>
      </c>
      <c r="C19" s="1341"/>
      <c r="D19" s="1342"/>
      <c r="E19" s="1343"/>
      <c r="F19" s="1343"/>
      <c r="G19" s="1343"/>
      <c r="H19" s="1343"/>
      <c r="I19" s="1343"/>
      <c r="J19" s="1343"/>
      <c r="K19" s="1343"/>
      <c r="L19" s="1340">
        <f t="shared" si="0"/>
        <v>0</v>
      </c>
      <c r="M19" s="1343"/>
    </row>
    <row r="20" spans="2:14" ht="20.100000000000001" customHeight="1" x14ac:dyDescent="0.2">
      <c r="B20" s="1337" t="s">
        <v>2122</v>
      </c>
      <c r="C20" s="1341">
        <v>10.555</v>
      </c>
      <c r="D20" s="1342" t="s">
        <v>2123</v>
      </c>
      <c r="E20" s="1343">
        <v>19619</v>
      </c>
      <c r="F20" s="1343">
        <v>4364</v>
      </c>
      <c r="G20" s="1343">
        <v>19619</v>
      </c>
      <c r="H20" s="1343"/>
      <c r="I20" s="1343">
        <v>4364</v>
      </c>
      <c r="J20" s="1343"/>
      <c r="K20" s="1343"/>
      <c r="L20" s="1340">
        <f t="shared" si="0"/>
        <v>23983</v>
      </c>
      <c r="M20" s="1343" t="s">
        <v>2124</v>
      </c>
    </row>
    <row r="21" spans="2:14" ht="20.100000000000001" customHeight="1" x14ac:dyDescent="0.2">
      <c r="B21" s="1337" t="s">
        <v>2125</v>
      </c>
      <c r="C21" s="1341">
        <v>10.555</v>
      </c>
      <c r="D21" s="1342" t="s">
        <v>2126</v>
      </c>
      <c r="E21" s="1343"/>
      <c r="F21" s="1343">
        <v>20869</v>
      </c>
      <c r="G21" s="1343"/>
      <c r="H21" s="1343"/>
      <c r="I21" s="1343">
        <v>20869</v>
      </c>
      <c r="J21" s="1343"/>
      <c r="K21" s="1343"/>
      <c r="L21" s="1340">
        <f t="shared" si="0"/>
        <v>20869</v>
      </c>
      <c r="M21" s="1343" t="s">
        <v>2124</v>
      </c>
    </row>
    <row r="22" spans="2:14" ht="20.100000000000001" customHeight="1" x14ac:dyDescent="0.2">
      <c r="B22" s="1337" t="s">
        <v>2127</v>
      </c>
      <c r="C22" s="1341">
        <v>10.555</v>
      </c>
      <c r="D22" s="1342" t="s">
        <v>2140</v>
      </c>
      <c r="E22" s="1343"/>
      <c r="F22" s="1343">
        <v>3219</v>
      </c>
      <c r="G22" s="1343"/>
      <c r="H22" s="1343"/>
      <c r="I22" s="1343">
        <v>3219</v>
      </c>
      <c r="J22" s="1343"/>
      <c r="K22" s="1343"/>
      <c r="L22" s="1340">
        <f t="shared" si="0"/>
        <v>3219</v>
      </c>
      <c r="M22" s="1343" t="s">
        <v>2124</v>
      </c>
    </row>
    <row r="23" spans="2:14" ht="20.100000000000001" customHeight="1" x14ac:dyDescent="0.2">
      <c r="B23" s="1337" t="s">
        <v>2129</v>
      </c>
      <c r="C23" s="1341">
        <v>10.553000000000001</v>
      </c>
      <c r="D23" s="1342" t="s">
        <v>2128</v>
      </c>
      <c r="E23" s="1343">
        <v>8811</v>
      </c>
      <c r="F23" s="1343">
        <v>2122</v>
      </c>
      <c r="G23" s="1343">
        <v>8810</v>
      </c>
      <c r="H23" s="1343"/>
      <c r="I23" s="1343">
        <v>2123</v>
      </c>
      <c r="J23" s="1343"/>
      <c r="K23" s="1343"/>
      <c r="L23" s="1340">
        <f t="shared" si="0"/>
        <v>10933</v>
      </c>
      <c r="M23" s="1343" t="s">
        <v>2124</v>
      </c>
    </row>
    <row r="24" spans="2:14" ht="20.100000000000001" customHeight="1" x14ac:dyDescent="0.2">
      <c r="B24" s="1337" t="s">
        <v>2130</v>
      </c>
      <c r="C24" s="1341">
        <v>10.553000000000001</v>
      </c>
      <c r="D24" s="1342" t="s">
        <v>2141</v>
      </c>
      <c r="E24" s="1343"/>
      <c r="F24" s="1343">
        <v>11901</v>
      </c>
      <c r="G24" s="1343"/>
      <c r="H24" s="1343"/>
      <c r="I24" s="1343">
        <v>11901</v>
      </c>
      <c r="J24" s="1343"/>
      <c r="K24" s="1343"/>
      <c r="L24" s="1340">
        <f t="shared" si="0"/>
        <v>11901</v>
      </c>
      <c r="M24" s="1343" t="s">
        <v>2124</v>
      </c>
    </row>
    <row r="25" spans="2:14" ht="20.100000000000001" customHeight="1" x14ac:dyDescent="0.2">
      <c r="B25" s="1337" t="s">
        <v>2131</v>
      </c>
      <c r="C25" s="1341"/>
      <c r="D25" s="1342"/>
      <c r="E25" s="1343">
        <f t="shared" ref="E25:J25" si="1">SUM(E20:E24)</f>
        <v>28430</v>
      </c>
      <c r="F25" s="1343">
        <f t="shared" si="1"/>
        <v>42475</v>
      </c>
      <c r="G25" s="1343">
        <f t="shared" si="1"/>
        <v>28429</v>
      </c>
      <c r="H25" s="1343">
        <f t="shared" si="1"/>
        <v>0</v>
      </c>
      <c r="I25" s="1343">
        <f t="shared" si="1"/>
        <v>42476</v>
      </c>
      <c r="J25" s="1343">
        <f t="shared" si="1"/>
        <v>0</v>
      </c>
      <c r="K25" s="1343"/>
      <c r="L25" s="1340">
        <f t="shared" si="0"/>
        <v>70905</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2092</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2093</v>
      </c>
      <c r="E118" s="322"/>
      <c r="F118" s="324"/>
      <c r="G118" s="1863"/>
      <c r="H118" s="322"/>
      <c r="I118" s="304"/>
    </row>
    <row r="119" spans="1:9" s="181" customFormat="1" ht="11.25" customHeight="1" x14ac:dyDescent="0.2">
      <c r="A119" s="325"/>
      <c r="B119" s="325"/>
      <c r="C119" s="326"/>
      <c r="D119" s="327" t="s">
        <v>379</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26" sqref="J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LaSalle Putnam Alliance</v>
      </c>
      <c r="C1" s="2464"/>
      <c r="D1" s="2464"/>
      <c r="E1" s="2464"/>
      <c r="F1" s="2464"/>
      <c r="G1" s="2464"/>
      <c r="H1" s="2464"/>
      <c r="I1" s="2464"/>
      <c r="J1" s="2464"/>
      <c r="K1" s="2464"/>
      <c r="L1" s="2464"/>
      <c r="M1" s="2464"/>
    </row>
    <row r="2" spans="2:14" ht="15" x14ac:dyDescent="0.2">
      <c r="B2" s="2453">
        <f>'Single Audit Cover'!E7</f>
        <v>35050000061</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2132</v>
      </c>
      <c r="C11" s="1338"/>
      <c r="D11" s="1339"/>
      <c r="E11" s="1340"/>
      <c r="F11" s="1340"/>
      <c r="G11" s="1340"/>
      <c r="H11" s="1340"/>
      <c r="I11" s="1340"/>
      <c r="J11" s="1340"/>
      <c r="K11" s="1340"/>
      <c r="L11" s="1340">
        <f>+G11+I11+K11</f>
        <v>0</v>
      </c>
      <c r="M11" s="1340"/>
    </row>
    <row r="12" spans="2:14" ht="20.100000000000001" customHeight="1" x14ac:dyDescent="0.2">
      <c r="B12" s="1337" t="s">
        <v>2133</v>
      </c>
      <c r="C12" s="1341"/>
      <c r="D12" s="1342"/>
      <c r="E12" s="1343"/>
      <c r="F12" s="1343"/>
      <c r="G12" s="1343"/>
      <c r="H12" s="1343"/>
      <c r="I12" s="1343"/>
      <c r="J12" s="1343"/>
      <c r="K12" s="1343"/>
      <c r="L12" s="1340">
        <f t="shared" ref="L12:L27" si="0">+G12+I12+K12</f>
        <v>0</v>
      </c>
      <c r="M12" s="1343"/>
    </row>
    <row r="13" spans="2:14" ht="20.100000000000001" customHeight="1" x14ac:dyDescent="0.2">
      <c r="B13" s="1337" t="s">
        <v>2134</v>
      </c>
      <c r="C13" s="1341">
        <v>93.778000000000006</v>
      </c>
      <c r="D13" s="1342" t="s">
        <v>2135</v>
      </c>
      <c r="E13" s="1343">
        <v>18250</v>
      </c>
      <c r="F13" s="1343">
        <v>11322</v>
      </c>
      <c r="G13" s="1343">
        <v>30803</v>
      </c>
      <c r="H13" s="1343"/>
      <c r="I13" s="1343"/>
      <c r="J13" s="1343"/>
      <c r="K13" s="1343"/>
      <c r="L13" s="1340">
        <f t="shared" si="0"/>
        <v>30803</v>
      </c>
      <c r="M13" s="1343" t="s">
        <v>2124</v>
      </c>
    </row>
    <row r="14" spans="2:14" ht="20.100000000000001" customHeight="1" x14ac:dyDescent="0.2">
      <c r="B14" s="1337" t="s">
        <v>2136</v>
      </c>
      <c r="C14" s="1341">
        <v>93.778000000000006</v>
      </c>
      <c r="D14" s="1342" t="s">
        <v>2137</v>
      </c>
      <c r="E14" s="1343"/>
      <c r="F14" s="1343">
        <v>16236</v>
      </c>
      <c r="G14" s="1343"/>
      <c r="H14" s="1343"/>
      <c r="I14" s="1343">
        <v>30445</v>
      </c>
      <c r="J14" s="1343"/>
      <c r="K14" s="1343"/>
      <c r="L14" s="1340">
        <f t="shared" si="0"/>
        <v>30445</v>
      </c>
      <c r="M14" s="1343" t="s">
        <v>2124</v>
      </c>
    </row>
    <row r="15" spans="2:14" ht="20.100000000000001" customHeight="1" x14ac:dyDescent="0.2">
      <c r="B15" s="1337" t="s">
        <v>2138</v>
      </c>
      <c r="C15" s="1341"/>
      <c r="D15" s="1342"/>
      <c r="E15" s="1343">
        <f>SUM(E13:E14)</f>
        <v>18250</v>
      </c>
      <c r="F15" s="1343">
        <f>SUM(F13:F14)</f>
        <v>27558</v>
      </c>
      <c r="G15" s="1343">
        <f>G14+G13</f>
        <v>30803</v>
      </c>
      <c r="H15" s="1343"/>
      <c r="I15" s="1343">
        <f>+I14+I13</f>
        <v>30445</v>
      </c>
      <c r="J15" s="1343"/>
      <c r="K15" s="1343"/>
      <c r="L15" s="1340">
        <f t="shared" si="0"/>
        <v>61248</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t="s">
        <v>2139</v>
      </c>
      <c r="C17" s="1341"/>
      <c r="D17" s="1342"/>
      <c r="E17" s="1343">
        <f>+E15+' SEFA'!E25+' SEFA'!E17</f>
        <v>4009970</v>
      </c>
      <c r="F17" s="1343">
        <f>+F15+' SEFA'!F25+' SEFA'!F17</f>
        <v>3877051</v>
      </c>
      <c r="G17" s="1343">
        <f>+G15+' SEFA'!G25+' SEFA'!G17</f>
        <v>4086625</v>
      </c>
      <c r="H17" s="1343">
        <f>+' SEFA'!H17</f>
        <v>2466976</v>
      </c>
      <c r="I17" s="1343">
        <f>+I15+' SEFA'!I25+' SEFA'!I17</f>
        <v>4067245</v>
      </c>
      <c r="J17" s="1343">
        <f>+' SEFA'!J17</f>
        <v>2915082</v>
      </c>
      <c r="K17" s="1343"/>
      <c r="L17" s="1340">
        <f t="shared" si="0"/>
        <v>8153870</v>
      </c>
      <c r="M17" s="1343">
        <f>+' SEFA'!M17</f>
        <v>12034310</v>
      </c>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L51" sqref="L5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LaSalle Putnam Alliance</v>
      </c>
      <c r="C1" s="2472"/>
      <c r="D1" s="2472"/>
      <c r="E1" s="2472"/>
      <c r="F1" s="2472"/>
      <c r="G1" s="2472"/>
      <c r="H1" s="2472"/>
      <c r="I1" s="2472"/>
      <c r="J1" s="1422"/>
    </row>
    <row r="2" spans="2:10" s="317" customFormat="1" ht="12.75" customHeight="1" x14ac:dyDescent="0.2">
      <c r="B2" s="2473">
        <f>'Single Audit Cover'!E7</f>
        <v>35050000061</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2142</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t="s">
        <v>2143</v>
      </c>
      <c r="E29" s="2478"/>
      <c r="F29" s="2478"/>
      <c r="G29" s="2478"/>
      <c r="H29" s="2478"/>
      <c r="I29" s="2478"/>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79" t="s">
        <v>1851</v>
      </c>
      <c r="D37" s="2480"/>
      <c r="E37" s="2480"/>
      <c r="F37" s="2481"/>
      <c r="G37" s="2479" t="s">
        <v>1674</v>
      </c>
      <c r="H37" s="2480"/>
      <c r="I37" s="2481"/>
    </row>
    <row r="38" spans="2:9" ht="16.5" customHeight="1" x14ac:dyDescent="0.2">
      <c r="B38" s="1444" t="s">
        <v>2144</v>
      </c>
      <c r="C38" s="2467" t="s">
        <v>2145</v>
      </c>
      <c r="D38" s="2468"/>
      <c r="E38" s="2468"/>
      <c r="F38" s="2469"/>
      <c r="G38" s="2482">
        <f>137549+3856775</f>
        <v>3994324</v>
      </c>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3994324</v>
      </c>
      <c r="H43" s="2488"/>
      <c r="I43" s="2488"/>
    </row>
    <row r="44" spans="2:9" ht="12.75" customHeight="1" x14ac:dyDescent="0.2"/>
    <row r="45" spans="2:9" ht="12.75" customHeight="1" x14ac:dyDescent="0.2">
      <c r="B45" s="1435" t="s">
        <v>1948</v>
      </c>
      <c r="D45" s="2489">
        <v>4067245</v>
      </c>
      <c r="E45" s="2490"/>
    </row>
    <row r="46" spans="2:9" ht="5.25" customHeight="1" x14ac:dyDescent="0.2">
      <c r="B46" s="1445"/>
      <c r="D46" s="1446"/>
      <c r="E46" s="1447"/>
    </row>
    <row r="47" spans="2:9" ht="12.75" customHeight="1" x14ac:dyDescent="0.2">
      <c r="B47" s="1300" t="s">
        <v>1676</v>
      </c>
      <c r="C47" s="1300"/>
      <c r="D47" s="1448">
        <f>+G43/D45</f>
        <v>0.98207115627408725</v>
      </c>
      <c r="E47" s="1449"/>
      <c r="F47" s="1450"/>
      <c r="I47" s="1451"/>
    </row>
    <row r="48" spans="2:9" ht="9.9499999999999993" customHeight="1" x14ac:dyDescent="0.2"/>
    <row r="49" spans="1:9" x14ac:dyDescent="0.2">
      <c r="B49" s="1368" t="s">
        <v>1335</v>
      </c>
      <c r="C49" s="1282"/>
      <c r="D49" s="1282"/>
      <c r="E49" s="2491">
        <v>750000</v>
      </c>
      <c r="F49" s="2491"/>
      <c r="G49" s="2491"/>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LaSalle Putnam Alliance</v>
      </c>
      <c r="C1" s="2471"/>
      <c r="D1" s="2471"/>
      <c r="E1" s="2471"/>
      <c r="F1" s="2471"/>
      <c r="G1" s="2471"/>
      <c r="H1" s="2471"/>
      <c r="I1" s="2471"/>
      <c r="J1" s="2471"/>
      <c r="K1" s="2471"/>
      <c r="L1" s="1374"/>
      <c r="M1" s="1374"/>
    </row>
    <row r="2" spans="1:13" ht="12" customHeight="1" x14ac:dyDescent="0.2">
      <c r="B2" s="2473">
        <f>'Single Audit Cover'!E7</f>
        <v>35050000061</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t="s">
        <v>2124</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LaSalle Putnam Alliance</v>
      </c>
      <c r="C1" s="2498"/>
      <c r="D1" s="2498"/>
      <c r="E1" s="2498"/>
      <c r="F1" s="2498"/>
      <c r="G1" s="2498"/>
      <c r="H1" s="2498"/>
      <c r="I1" s="2498"/>
      <c r="J1" s="2498"/>
      <c r="K1" s="2498"/>
      <c r="L1" s="1465"/>
    </row>
    <row r="2" spans="1:12" ht="12.75" customHeight="1" x14ac:dyDescent="0.2">
      <c r="B2" s="2499">
        <f>'Single Audit Cover'!E7</f>
        <v>35050000061</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t="s">
        <v>2124</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LaSalle Putnam Alliance</v>
      </c>
      <c r="C1" s="2471"/>
      <c r="D1" s="2471"/>
      <c r="E1" s="1491"/>
    </row>
    <row r="2" spans="2:5" s="1282" customFormat="1" ht="12.75" customHeight="1" x14ac:dyDescent="0.2">
      <c r="B2" s="2473">
        <f>'Single Audit Cover'!E7</f>
        <v>35050000061</v>
      </c>
      <c r="C2" s="2473"/>
      <c r="D2" s="2473"/>
      <c r="E2" s="1492"/>
    </row>
    <row r="3" spans="2:5" ht="12.75" customHeight="1" x14ac:dyDescent="0.2">
      <c r="B3" s="2494" t="s">
        <v>1866</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2146</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9551180</v>
      </c>
      <c r="E16" s="356"/>
      <c r="F16" s="1755">
        <f>SUM('Acct Summary 7-8'!C17,'Acct Summary 7-8'!D17,'Acct Summary 7-8'!F17)</f>
        <v>9468991</v>
      </c>
      <c r="G16" s="356"/>
      <c r="H16" s="1755">
        <f>SUM(D16-F16)</f>
        <v>82189</v>
      </c>
      <c r="I16" s="222"/>
      <c r="J16" s="1755">
        <f>SUM('Acct Summary 7-8'!C81,'Acct Summary 7-8'!D81,'Acct Summary 7-8'!F81,'Acct Summary 7-8'!I81)</f>
        <v>960221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LaSalle Putnam Alliance</v>
      </c>
      <c r="E7" s="391"/>
      <c r="G7" s="252"/>
      <c r="H7" s="387"/>
      <c r="I7" s="387"/>
      <c r="J7" s="387"/>
      <c r="K7" s="387"/>
      <c r="L7" s="329"/>
      <c r="M7" s="329"/>
      <c r="N7" s="329"/>
      <c r="O7" s="329"/>
      <c r="P7" s="329"/>
    </row>
    <row r="8" spans="1:18" ht="12.75" x14ac:dyDescent="0.2">
      <c r="A8" s="329"/>
      <c r="B8" s="329"/>
      <c r="C8" s="389" t="s">
        <v>1187</v>
      </c>
      <c r="D8" s="392">
        <f>COVER!A13</f>
        <v>35050000061</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960221</v>
      </c>
      <c r="I12" s="404"/>
      <c r="J12" s="404"/>
      <c r="K12" s="405">
        <f>TRUNC((H12/H13*100000),5)/100000</f>
        <v>0.10053427949999999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9551180</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9468991</v>
      </c>
      <c r="I17" s="404"/>
      <c r="J17" s="416"/>
      <c r="K17" s="405">
        <f>TRUNC((H17/H18*100000),5)/100000</f>
        <v>0.99139488519999996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9551180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1260197</v>
      </c>
      <c r="I24" s="422"/>
      <c r="J24" s="422"/>
      <c r="K24" s="423">
        <f>TRUNC(((H24/H25*100000)/100000),2)</f>
        <v>47.91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26302.752779999999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1260197</v>
      </c>
      <c r="D4" s="466"/>
      <c r="E4" s="466"/>
      <c r="F4" s="466"/>
      <c r="G4" s="466"/>
      <c r="H4" s="466"/>
      <c r="I4" s="466"/>
      <c r="J4" s="467"/>
      <c r="K4" s="466"/>
      <c r="L4" s="466">
        <v>5298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1260197</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5298</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35000</v>
      </c>
      <c r="N16" s="484"/>
    </row>
    <row r="17" spans="1:14" s="485" customFormat="1" ht="12.75" customHeight="1" x14ac:dyDescent="0.2">
      <c r="A17" s="482" t="s">
        <v>1470</v>
      </c>
      <c r="B17" s="483">
        <v>230</v>
      </c>
      <c r="C17" s="477"/>
      <c r="D17" s="477"/>
      <c r="E17" s="477"/>
      <c r="F17" s="477"/>
      <c r="G17" s="477"/>
      <c r="H17" s="477"/>
      <c r="I17" s="477"/>
      <c r="J17" s="477"/>
      <c r="K17" s="477"/>
      <c r="L17" s="477"/>
      <c r="M17" s="467">
        <v>2311384</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416087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2762471</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287894</v>
      </c>
      <c r="D30" s="474"/>
      <c r="E30" s="467"/>
      <c r="F30" s="467"/>
      <c r="G30" s="467"/>
      <c r="H30" s="467"/>
      <c r="I30" s="467"/>
      <c r="J30" s="467"/>
      <c r="K30" s="478"/>
      <c r="L30" s="468"/>
      <c r="M30" s="468"/>
      <c r="N30" s="468"/>
    </row>
    <row r="31" spans="1:14" ht="13.5" customHeight="1" x14ac:dyDescent="0.2">
      <c r="A31" s="473" t="s">
        <v>672</v>
      </c>
      <c r="B31" s="470">
        <v>480</v>
      </c>
      <c r="C31" s="466">
        <v>12082</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5298</v>
      </c>
      <c r="M33" s="468"/>
      <c r="N33" s="469"/>
    </row>
    <row r="34" spans="1:14" ht="13.5" customHeight="1" thickBot="1" x14ac:dyDescent="0.25">
      <c r="A34" s="1760" t="s">
        <v>675</v>
      </c>
      <c r="B34" s="1761"/>
      <c r="C34" s="1762">
        <f>SUM(C25:C33)</f>
        <v>299976</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5298</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960221</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2762471</v>
      </c>
      <c r="N40" s="497"/>
    </row>
    <row r="41" spans="1:14" ht="13.5" customHeight="1" thickBot="1" x14ac:dyDescent="0.25">
      <c r="A41" s="1758" t="s">
        <v>676</v>
      </c>
      <c r="B41" s="1728"/>
      <c r="C41" s="1710">
        <f>(SUM(C34,C37,C38,C39))</f>
        <v>1260197</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5298</v>
      </c>
      <c r="M41" s="1710">
        <f>SUM(M40)</f>
        <v>2762471</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8" sqref="C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3940550</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1086188</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579137</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3945305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9551180</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278789</v>
      </c>
      <c r="D9" s="516"/>
      <c r="E9" s="481"/>
      <c r="F9" s="481"/>
      <c r="G9" s="517"/>
      <c r="H9" s="481"/>
      <c r="I9" s="509" t="s">
        <v>1231</v>
      </c>
      <c r="J9" s="478"/>
      <c r="K9" s="481"/>
      <c r="L9" s="347"/>
    </row>
    <row r="10" spans="1:13" s="519" customFormat="1" ht="13.5" thickBot="1" x14ac:dyDescent="0.25">
      <c r="A10" s="1758" t="s">
        <v>1235</v>
      </c>
      <c r="B10" s="1731"/>
      <c r="C10" s="1710">
        <f>SUM(C8:C9)</f>
        <v>9829969</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1286470</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3891852</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4290669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9468991</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278789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9747780</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4" t="s">
        <v>1754</v>
      </c>
      <c r="B20" s="2145"/>
      <c r="C20" s="1768">
        <f>C8-C17</f>
        <v>82189</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82189</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2068</v>
      </c>
      <c r="B79" s="534"/>
      <c r="C79" s="478">
        <v>878032</v>
      </c>
      <c r="D79" s="535"/>
      <c r="E79" s="535"/>
      <c r="F79" s="535"/>
      <c r="G79" s="535"/>
      <c r="H79" s="535"/>
      <c r="I79" s="535"/>
      <c r="J79" s="535"/>
      <c r="K79" s="535"/>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2069</v>
      </c>
      <c r="B81" s="2139"/>
      <c r="C81" s="1710">
        <f>(SUM(C78:C80))</f>
        <v>960221</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82189</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8.5593837252049262E-2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81" activePane="bottomLeft" state="frozen"/>
      <selection activeCell="A47" sqref="A47"/>
      <selection pane="bottomLeft" activeCell="C99" sqref="C9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f>2502561+326692+986071</f>
        <v>3815324</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3815324</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6143</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6143</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33180</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22440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63463</v>
      </c>
      <c r="D107" s="466"/>
      <c r="E107" s="466"/>
      <c r="F107" s="466"/>
      <c r="G107" s="466"/>
      <c r="H107" s="466"/>
      <c r="I107" s="466"/>
      <c r="J107" s="467"/>
      <c r="K107" s="466"/>
    </row>
    <row r="108" spans="1:12" ht="12.75" customHeight="1" thickBot="1" x14ac:dyDescent="0.25">
      <c r="A108" s="1730" t="s">
        <v>508</v>
      </c>
      <c r="B108" s="1734"/>
      <c r="C108" s="1729">
        <f>SUM(C95:C107)</f>
        <v>119083</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3940550</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1086188</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1086188</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375766</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375766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187883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v>14825</v>
      </c>
      <c r="D130" s="467"/>
      <c r="E130" s="468"/>
      <c r="F130" s="466"/>
      <c r="G130" s="468"/>
      <c r="H130" s="468"/>
      <c r="I130" s="468"/>
      <c r="J130" s="468"/>
      <c r="K130" s="468"/>
    </row>
    <row r="131" spans="1:11" ht="12.75" customHeight="1" thickBot="1" x14ac:dyDescent="0.25">
      <c r="A131" s="1730" t="s">
        <v>1092</v>
      </c>
      <c r="B131" s="1742"/>
      <c r="C131" s="1729">
        <f>SUM(C124:C130)</f>
        <v>202708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663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203371</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579137</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1903</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25234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14023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39257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134947</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3672071</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3807018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27557</v>
      </c>
      <c r="D270" s="576"/>
      <c r="E270" s="468"/>
      <c r="F270" s="576"/>
      <c r="G270" s="576"/>
      <c r="H270" s="468"/>
      <c r="I270" s="468"/>
      <c r="J270" s="468"/>
      <c r="K270" s="468"/>
    </row>
    <row r="271" spans="1:11" ht="12.75" customHeight="1" thickTop="1" thickBot="1" x14ac:dyDescent="0.25">
      <c r="A271" s="463" t="s">
        <v>395</v>
      </c>
      <c r="B271" s="470">
        <v>4992</v>
      </c>
      <c r="C271" s="575">
        <v>71473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3945305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3945305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9551180</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45" activePane="bottomLeft" state="frozen"/>
      <selection activeCell="A47" sqref="A47"/>
      <selection pane="bottomLeft" activeCell="E72" sqref="E7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852994</v>
      </c>
      <c r="D8" s="466">
        <v>405475</v>
      </c>
      <c r="E8" s="466">
        <v>16809</v>
      </c>
      <c r="F8" s="466">
        <v>11192</v>
      </c>
      <c r="G8" s="466"/>
      <c r="H8" s="466"/>
      <c r="I8" s="467"/>
      <c r="J8" s="467"/>
      <c r="K8" s="1693">
        <f t="shared" si="0"/>
        <v>1286470</v>
      </c>
      <c r="L8" s="466">
        <v>1366648</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852994</v>
      </c>
      <c r="D33" s="1692">
        <f t="shared" ref="D33:L33" si="1">SUM(D5:D32)</f>
        <v>405475</v>
      </c>
      <c r="E33" s="1692">
        <f t="shared" si="1"/>
        <v>16809</v>
      </c>
      <c r="F33" s="1692">
        <f t="shared" si="1"/>
        <v>11192</v>
      </c>
      <c r="G33" s="1692">
        <f t="shared" si="1"/>
        <v>0</v>
      </c>
      <c r="H33" s="1692">
        <f t="shared" si="1"/>
        <v>0</v>
      </c>
      <c r="I33" s="1692">
        <f t="shared" si="1"/>
        <v>0</v>
      </c>
      <c r="J33" s="1692">
        <f t="shared" si="1"/>
        <v>0</v>
      </c>
      <c r="K33" s="1692">
        <f t="shared" si="1"/>
        <v>1286470</v>
      </c>
      <c r="L33" s="1692">
        <f t="shared" si="1"/>
        <v>1366648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201815</v>
      </c>
      <c r="D36" s="481">
        <v>65958</v>
      </c>
      <c r="E36" s="481">
        <v>1530</v>
      </c>
      <c r="F36" s="481"/>
      <c r="G36" s="481"/>
      <c r="H36" s="481"/>
      <c r="I36" s="467"/>
      <c r="J36" s="467"/>
      <c r="K36" s="1693">
        <f t="shared" ref="K36:K41" si="2">SUM(C36:J36)</f>
        <v>269303</v>
      </c>
      <c r="L36" s="466">
        <v>272249</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v>64000</v>
      </c>
      <c r="D39" s="466">
        <v>27544</v>
      </c>
      <c r="E39" s="466">
        <v>2077</v>
      </c>
      <c r="F39" s="466">
        <v>856</v>
      </c>
      <c r="G39" s="466">
        <v>879</v>
      </c>
      <c r="H39" s="466"/>
      <c r="I39" s="467"/>
      <c r="J39" s="467"/>
      <c r="K39" s="1693">
        <f t="shared" si="2"/>
        <v>95356</v>
      </c>
      <c r="L39" s="466">
        <v>96330</v>
      </c>
    </row>
    <row r="40" spans="1:14" x14ac:dyDescent="0.2">
      <c r="A40" s="1526" t="s">
        <v>209</v>
      </c>
      <c r="B40" s="615">
        <v>2150</v>
      </c>
      <c r="C40" s="466">
        <v>800011</v>
      </c>
      <c r="D40" s="466">
        <v>318734</v>
      </c>
      <c r="E40" s="466">
        <v>30616</v>
      </c>
      <c r="F40" s="466">
        <v>7805</v>
      </c>
      <c r="G40" s="466">
        <v>4279</v>
      </c>
      <c r="H40" s="466"/>
      <c r="I40" s="467"/>
      <c r="J40" s="467"/>
      <c r="K40" s="1693">
        <f t="shared" si="2"/>
        <v>1161445</v>
      </c>
      <c r="L40" s="466">
        <v>1223066</v>
      </c>
    </row>
    <row r="41" spans="1:14" x14ac:dyDescent="0.2">
      <c r="A41" s="1526" t="s">
        <v>1768</v>
      </c>
      <c r="B41" s="615">
        <v>2190</v>
      </c>
      <c r="C41" s="466"/>
      <c r="D41" s="466"/>
      <c r="E41" s="466">
        <v>39</v>
      </c>
      <c r="F41" s="466"/>
      <c r="G41" s="466"/>
      <c r="H41" s="466"/>
      <c r="I41" s="467"/>
      <c r="J41" s="467"/>
      <c r="K41" s="1693">
        <f t="shared" si="2"/>
        <v>39</v>
      </c>
      <c r="L41" s="466">
        <v>550</v>
      </c>
    </row>
    <row r="42" spans="1:14" ht="12.75" customHeight="1" thickBot="1" x14ac:dyDescent="0.25">
      <c r="A42" s="1690" t="s">
        <v>581</v>
      </c>
      <c r="B42" s="1691" t="s">
        <v>740</v>
      </c>
      <c r="C42" s="1692">
        <f>SUM(C36:C41)</f>
        <v>1065826</v>
      </c>
      <c r="D42" s="1692">
        <f t="shared" ref="D42:L42" si="3">SUM(D36:D41)</f>
        <v>412236</v>
      </c>
      <c r="E42" s="1692">
        <f t="shared" si="3"/>
        <v>34262</v>
      </c>
      <c r="F42" s="1692">
        <f t="shared" si="3"/>
        <v>8661</v>
      </c>
      <c r="G42" s="1692">
        <f t="shared" si="3"/>
        <v>5158</v>
      </c>
      <c r="H42" s="1692">
        <f t="shared" si="3"/>
        <v>0</v>
      </c>
      <c r="I42" s="1692">
        <f t="shared" si="3"/>
        <v>0</v>
      </c>
      <c r="J42" s="1692">
        <f t="shared" si="3"/>
        <v>0</v>
      </c>
      <c r="K42" s="1692">
        <f t="shared" si="3"/>
        <v>1526143</v>
      </c>
      <c r="L42" s="1692">
        <f t="shared" si="3"/>
        <v>1592195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530991</v>
      </c>
      <c r="D44" s="481">
        <v>195653</v>
      </c>
      <c r="E44" s="481">
        <v>47473</v>
      </c>
      <c r="F44" s="481">
        <v>12775</v>
      </c>
      <c r="G44" s="481"/>
      <c r="H44" s="481">
        <v>11663</v>
      </c>
      <c r="I44" s="467"/>
      <c r="J44" s="467"/>
      <c r="K44" s="1694">
        <f>SUM(C44:J44)</f>
        <v>798555</v>
      </c>
      <c r="L44" s="481">
        <v>898927</v>
      </c>
    </row>
    <row r="45" spans="1:14" x14ac:dyDescent="0.2">
      <c r="A45" s="1526" t="s">
        <v>869</v>
      </c>
      <c r="B45" s="615">
        <v>2220</v>
      </c>
      <c r="C45" s="466"/>
      <c r="D45" s="466"/>
      <c r="E45" s="466"/>
      <c r="F45" s="466"/>
      <c r="G45" s="466"/>
      <c r="H45" s="466"/>
      <c r="I45" s="467"/>
      <c r="J45" s="467"/>
      <c r="K45" s="1694">
        <f>SUM(C45:J45)</f>
        <v>0</v>
      </c>
      <c r="L45" s="466">
        <v>3500</v>
      </c>
    </row>
    <row r="46" spans="1:14" x14ac:dyDescent="0.2">
      <c r="A46" s="1526" t="s">
        <v>870</v>
      </c>
      <c r="B46" s="615">
        <v>2230</v>
      </c>
      <c r="C46" s="466">
        <v>124715</v>
      </c>
      <c r="D46" s="466">
        <v>60940</v>
      </c>
      <c r="E46" s="466">
        <v>3940</v>
      </c>
      <c r="F46" s="466">
        <v>882</v>
      </c>
      <c r="G46" s="466"/>
      <c r="H46" s="466"/>
      <c r="I46" s="467"/>
      <c r="J46" s="467"/>
      <c r="K46" s="1694">
        <f>SUM(C46:J46)</f>
        <v>190477</v>
      </c>
      <c r="L46" s="466">
        <v>223181</v>
      </c>
    </row>
    <row r="47" spans="1:14" ht="12.75" customHeight="1" thickBot="1" x14ac:dyDescent="0.25">
      <c r="A47" s="1690" t="s">
        <v>582</v>
      </c>
      <c r="B47" s="1691" t="s">
        <v>32</v>
      </c>
      <c r="C47" s="1692">
        <f>SUM(C44:C46)</f>
        <v>655706</v>
      </c>
      <c r="D47" s="1692">
        <f t="shared" ref="D47:K47" si="4">SUM(D44:D46)</f>
        <v>256593</v>
      </c>
      <c r="E47" s="1692">
        <f t="shared" si="4"/>
        <v>51413</v>
      </c>
      <c r="F47" s="1692">
        <f t="shared" si="4"/>
        <v>13657</v>
      </c>
      <c r="G47" s="1692">
        <f t="shared" si="4"/>
        <v>0</v>
      </c>
      <c r="H47" s="1692">
        <f t="shared" si="4"/>
        <v>11663</v>
      </c>
      <c r="I47" s="1692">
        <f t="shared" si="4"/>
        <v>0</v>
      </c>
      <c r="J47" s="1692">
        <f t="shared" si="4"/>
        <v>0</v>
      </c>
      <c r="K47" s="1692">
        <f t="shared" si="4"/>
        <v>989032</v>
      </c>
      <c r="L47" s="1692">
        <f>SUM(L44:L46)</f>
        <v>1125608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v>316912</v>
      </c>
      <c r="D50" s="466">
        <v>120369</v>
      </c>
      <c r="E50" s="466">
        <v>93874</v>
      </c>
      <c r="F50" s="466">
        <v>400</v>
      </c>
      <c r="G50" s="466"/>
      <c r="H50" s="466">
        <v>701</v>
      </c>
      <c r="I50" s="467"/>
      <c r="J50" s="467"/>
      <c r="K50" s="1694">
        <f>SUM(C50:J50)</f>
        <v>532256</v>
      </c>
      <c r="L50" s="466">
        <v>578242</v>
      </c>
    </row>
    <row r="51" spans="1:14" x14ac:dyDescent="0.2">
      <c r="A51" s="1526" t="s">
        <v>44</v>
      </c>
      <c r="B51" s="615">
        <v>2330</v>
      </c>
      <c r="C51" s="466">
        <v>123799</v>
      </c>
      <c r="D51" s="466">
        <v>48926</v>
      </c>
      <c r="E51" s="466">
        <v>55179</v>
      </c>
      <c r="F51" s="466">
        <v>6291</v>
      </c>
      <c r="G51" s="466">
        <v>1940</v>
      </c>
      <c r="H51" s="466">
        <v>2359</v>
      </c>
      <c r="I51" s="467"/>
      <c r="J51" s="467"/>
      <c r="K51" s="1694">
        <f>SUM(C51:J51)</f>
        <v>238494</v>
      </c>
      <c r="L51" s="466">
        <v>275552</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440711</v>
      </c>
      <c r="D53" s="1692">
        <f t="shared" ref="D53:L53" si="5">SUM(D49:D52)</f>
        <v>169295</v>
      </c>
      <c r="E53" s="1692">
        <f t="shared" si="5"/>
        <v>149053</v>
      </c>
      <c r="F53" s="1692">
        <f t="shared" si="5"/>
        <v>6691</v>
      </c>
      <c r="G53" s="1692">
        <f t="shared" si="5"/>
        <v>1940</v>
      </c>
      <c r="H53" s="1692">
        <f t="shared" si="5"/>
        <v>3060</v>
      </c>
      <c r="I53" s="1692">
        <f t="shared" si="5"/>
        <v>0</v>
      </c>
      <c r="J53" s="1692">
        <f t="shared" si="5"/>
        <v>0</v>
      </c>
      <c r="K53" s="1692">
        <f t="shared" si="5"/>
        <v>770750</v>
      </c>
      <c r="L53" s="1692">
        <f t="shared" si="5"/>
        <v>853794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65047</v>
      </c>
      <c r="D60" s="466">
        <v>27288</v>
      </c>
      <c r="E60" s="466">
        <v>6501</v>
      </c>
      <c r="F60" s="466">
        <v>546</v>
      </c>
      <c r="G60" s="466"/>
      <c r="H60" s="466"/>
      <c r="I60" s="467"/>
      <c r="J60" s="467"/>
      <c r="K60" s="1694">
        <f t="shared" si="7"/>
        <v>99382</v>
      </c>
      <c r="L60" s="466">
        <v>107880</v>
      </c>
      <c r="M60" s="610"/>
      <c r="N60" s="610"/>
    </row>
    <row r="61" spans="1:14" s="343" customFormat="1" x14ac:dyDescent="0.2">
      <c r="A61" s="1526" t="s">
        <v>206</v>
      </c>
      <c r="B61" s="615">
        <v>2540</v>
      </c>
      <c r="C61" s="466">
        <v>109583</v>
      </c>
      <c r="D61" s="466">
        <v>52359</v>
      </c>
      <c r="E61" s="466">
        <v>60115</v>
      </c>
      <c r="F61" s="466">
        <v>47451</v>
      </c>
      <c r="G61" s="466">
        <v>1300</v>
      </c>
      <c r="H61" s="466"/>
      <c r="I61" s="467"/>
      <c r="J61" s="467"/>
      <c r="K61" s="1694">
        <f t="shared" si="7"/>
        <v>270808</v>
      </c>
      <c r="L61" s="466">
        <v>504915</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v>34166</v>
      </c>
      <c r="F63" s="466">
        <v>9200</v>
      </c>
      <c r="G63" s="466"/>
      <c r="H63" s="466"/>
      <c r="I63" s="467"/>
      <c r="J63" s="467"/>
      <c r="K63" s="1694">
        <f t="shared" si="7"/>
        <v>43366</v>
      </c>
      <c r="L63" s="466">
        <v>44200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174630</v>
      </c>
      <c r="D65" s="1692">
        <f t="shared" ref="D65:L65" si="8">SUM(D59:D64)</f>
        <v>79647</v>
      </c>
      <c r="E65" s="1692">
        <f t="shared" si="8"/>
        <v>100782</v>
      </c>
      <c r="F65" s="1692">
        <f t="shared" si="8"/>
        <v>57197</v>
      </c>
      <c r="G65" s="1692">
        <f t="shared" si="8"/>
        <v>1300</v>
      </c>
      <c r="H65" s="1692">
        <f t="shared" si="8"/>
        <v>0</v>
      </c>
      <c r="I65" s="1692">
        <f t="shared" si="8"/>
        <v>0</v>
      </c>
      <c r="J65" s="1692">
        <f t="shared" si="8"/>
        <v>0</v>
      </c>
      <c r="K65" s="1692">
        <f t="shared" si="8"/>
        <v>413556</v>
      </c>
      <c r="L65" s="1692">
        <f t="shared" si="8"/>
        <v>656995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68044</v>
      </c>
      <c r="D69" s="466">
        <v>49396</v>
      </c>
      <c r="E69" s="466">
        <v>5756</v>
      </c>
      <c r="F69" s="466">
        <v>197</v>
      </c>
      <c r="G69" s="466"/>
      <c r="H69" s="466"/>
      <c r="I69" s="467"/>
      <c r="J69" s="467"/>
      <c r="K69" s="1694">
        <f>SUM(C69:J69)</f>
        <v>123393</v>
      </c>
      <c r="L69" s="466">
        <v>131050</v>
      </c>
      <c r="M69" s="610"/>
      <c r="N69" s="610"/>
    </row>
    <row r="70" spans="1:14" s="343" customFormat="1" x14ac:dyDescent="0.2">
      <c r="A70" s="1526" t="s">
        <v>423</v>
      </c>
      <c r="B70" s="615">
        <v>2640</v>
      </c>
      <c r="C70" s="466"/>
      <c r="D70" s="466"/>
      <c r="E70" s="466"/>
      <c r="F70" s="466">
        <v>523</v>
      </c>
      <c r="G70" s="466"/>
      <c r="H70" s="466"/>
      <c r="I70" s="467"/>
      <c r="J70" s="467"/>
      <c r="K70" s="1694">
        <f>SUM(C70:J70)</f>
        <v>523</v>
      </c>
      <c r="L70" s="466">
        <v>1700</v>
      </c>
      <c r="M70" s="610"/>
      <c r="N70" s="610"/>
    </row>
    <row r="71" spans="1:14" s="343" customFormat="1" x14ac:dyDescent="0.2">
      <c r="A71" s="1526" t="s">
        <v>424</v>
      </c>
      <c r="B71" s="615">
        <v>2660</v>
      </c>
      <c r="C71" s="466">
        <v>22743</v>
      </c>
      <c r="D71" s="466">
        <v>9374</v>
      </c>
      <c r="E71" s="466">
        <v>27026</v>
      </c>
      <c r="F71" s="466">
        <v>4658</v>
      </c>
      <c r="G71" s="466">
        <v>4654</v>
      </c>
      <c r="H71" s="466"/>
      <c r="I71" s="467"/>
      <c r="J71" s="467"/>
      <c r="K71" s="1694">
        <f>SUM(C71:J71)</f>
        <v>68455</v>
      </c>
      <c r="L71" s="466">
        <v>115673</v>
      </c>
      <c r="M71" s="610"/>
      <c r="N71" s="610"/>
    </row>
    <row r="72" spans="1:14" s="343" customFormat="1" ht="12.75" customHeight="1" thickBot="1" x14ac:dyDescent="0.25">
      <c r="A72" s="1690" t="s">
        <v>37</v>
      </c>
      <c r="B72" s="1697" t="s">
        <v>36</v>
      </c>
      <c r="C72" s="1692">
        <f>SUM(C67:C71)</f>
        <v>90787</v>
      </c>
      <c r="D72" s="1692">
        <f t="shared" ref="D72:K72" si="9">SUM(D67:D71)</f>
        <v>58770</v>
      </c>
      <c r="E72" s="1692">
        <f t="shared" si="9"/>
        <v>32782</v>
      </c>
      <c r="F72" s="1692">
        <f t="shared" si="9"/>
        <v>5378</v>
      </c>
      <c r="G72" s="1692">
        <f t="shared" si="9"/>
        <v>4654</v>
      </c>
      <c r="H72" s="1692">
        <f t="shared" si="9"/>
        <v>0</v>
      </c>
      <c r="I72" s="1692">
        <f t="shared" si="9"/>
        <v>0</v>
      </c>
      <c r="J72" s="1692">
        <f t="shared" si="9"/>
        <v>0</v>
      </c>
      <c r="K72" s="1692">
        <f t="shared" si="9"/>
        <v>192371</v>
      </c>
      <c r="L72" s="1692">
        <f>SUM(L67:L71)</f>
        <v>248423</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2427660</v>
      </c>
      <c r="D74" s="1699">
        <f t="shared" ref="D74:K74" si="10">SUM(D42,D47,D53,D57,D65,D72,D73)</f>
        <v>976541</v>
      </c>
      <c r="E74" s="1699">
        <f t="shared" si="10"/>
        <v>368292</v>
      </c>
      <c r="F74" s="1699">
        <f t="shared" si="10"/>
        <v>91584</v>
      </c>
      <c r="G74" s="1699">
        <f t="shared" si="10"/>
        <v>13052</v>
      </c>
      <c r="H74" s="1699">
        <f t="shared" si="10"/>
        <v>14723</v>
      </c>
      <c r="I74" s="1699">
        <f t="shared" si="10"/>
        <v>0</v>
      </c>
      <c r="J74" s="1699">
        <f t="shared" si="10"/>
        <v>0</v>
      </c>
      <c r="K74" s="1699">
        <f t="shared" si="10"/>
        <v>3891852</v>
      </c>
      <c r="L74" s="1699">
        <f>SUM(L42,L47,L53,L57,L65,L72,L73)</f>
        <v>4477015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3135</v>
      </c>
      <c r="F79" s="617"/>
      <c r="G79" s="617"/>
      <c r="H79" s="466">
        <v>4287534</v>
      </c>
      <c r="I79" s="477"/>
      <c r="J79" s="477"/>
      <c r="K79" s="1693">
        <f t="shared" si="11"/>
        <v>4290669</v>
      </c>
      <c r="L79" s="466">
        <v>3409922</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3135</v>
      </c>
      <c r="F84" s="617"/>
      <c r="G84" s="617"/>
      <c r="H84" s="1692">
        <f>SUM(H78:H83)</f>
        <v>4287534</v>
      </c>
      <c r="I84" s="477"/>
      <c r="J84" s="477"/>
      <c r="K84" s="1692">
        <f>SUM(K78:K83)</f>
        <v>4290669</v>
      </c>
      <c r="L84" s="1692">
        <f>SUM(L78:L83)</f>
        <v>3409922</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3135</v>
      </c>
      <c r="F102" s="617"/>
      <c r="G102" s="617"/>
      <c r="H102" s="1699">
        <f>SUM(H84,H92,H100,H101)</f>
        <v>4287534</v>
      </c>
      <c r="I102" s="477"/>
      <c r="J102" s="477"/>
      <c r="K102" s="1699">
        <f>SUM(K84,K92,K100,K101)</f>
        <v>4290669</v>
      </c>
      <c r="L102" s="1699">
        <f>SUM(L84,L92,L100,L101)</f>
        <v>3409922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3280654</v>
      </c>
      <c r="D114" s="1692">
        <f t="shared" ref="D114:K114" si="13">SUM(D33,D74,D75,D102,D112,D113)</f>
        <v>1382016</v>
      </c>
      <c r="E114" s="1692">
        <f t="shared" si="13"/>
        <v>388236</v>
      </c>
      <c r="F114" s="1692">
        <f t="shared" si="13"/>
        <v>102776</v>
      </c>
      <c r="G114" s="1692">
        <f t="shared" si="13"/>
        <v>13052</v>
      </c>
      <c r="H114" s="1692">
        <f>SUM(H33,H74,H75,H102,H112,H113)</f>
        <v>4302257</v>
      </c>
      <c r="I114" s="1692">
        <f t="shared" si="13"/>
        <v>0</v>
      </c>
      <c r="J114" s="1692">
        <f t="shared" si="13"/>
        <v>0</v>
      </c>
      <c r="K114" s="1692">
        <f t="shared" si="13"/>
        <v>9468991</v>
      </c>
      <c r="L114" s="1692">
        <f>SUM(L33,L74,L75,L102,L112,L113)</f>
        <v>9253585</v>
      </c>
    </row>
    <row r="115" spans="1:14" ht="13.5" thickTop="1" x14ac:dyDescent="0.2">
      <c r="A115" s="2174" t="s">
        <v>1053</v>
      </c>
      <c r="B115" s="2175"/>
      <c r="C115" s="619"/>
      <c r="D115" s="619"/>
      <c r="E115" s="619"/>
      <c r="F115" s="619"/>
      <c r="G115" s="619"/>
      <c r="H115" s="619"/>
      <c r="I115" s="619"/>
      <c r="J115" s="619"/>
      <c r="K115" s="1706">
        <f>'Revenues 9-14'!C275-'Expenditures 15-22'!K114</f>
        <v>82189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1953</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4" t="s">
        <v>1240</v>
      </c>
      <c r="B152" s="2195"/>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4" t="s">
        <v>1053</v>
      </c>
      <c r="B175" s="2175"/>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4" t="s">
        <v>1053</v>
      </c>
      <c r="B211" s="2175"/>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1953</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4" t="s">
        <v>1053</v>
      </c>
      <c r="B296" s="2175"/>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1959</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6ce3111e-7420-4802-b50a-75d4e9a0b980"/>
    <ds:schemaRef ds:uri="http://schemas.microsoft.com/office/2006/documentManagement/types"/>
    <ds:schemaRef ds:uri="http://www.w3.org/XML/1998/namespace"/>
    <ds:schemaRef ds:uri="http://purl.org/dc/elements/1.1/"/>
    <ds:schemaRef ds:uri="http://schemas.microsoft.com/office/infopath/2007/PartnerControls"/>
    <ds:schemaRef ds:uri="http://schemas.openxmlformats.org/package/2006/metadata/core-properties"/>
    <ds:schemaRef ds:uri="http://purl.org/dc/terms/"/>
    <ds:schemaRef ds:uri="http://schemas.microsoft.com/office/2006/metadata/properties"/>
    <ds:schemaRef ds:uri="4d435f69-8686-490b-bd6d-b153bf22ab50"/>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2018-10-11T19:31:37Z</cp:lastPrinted>
  <dcterms:created xsi:type="dcterms:W3CDTF">2003-10-29T19:06:34Z</dcterms:created>
  <dcterms:modified xsi:type="dcterms:W3CDTF">2018-10-12T19:01:31Z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