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89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83" r:id="rId29"/>
    <sheet name=" SEFA 2" sheetId="179"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2" i="11" l="1"/>
  <c r="I13" i="11" s="1"/>
  <c r="D13" i="11"/>
  <c r="D12" i="11"/>
  <c r="D10" i="11"/>
  <c r="F14" i="179" l="1"/>
  <c r="K19" i="179" l="1"/>
  <c r="G19" i="179"/>
  <c r="E19" i="179"/>
  <c r="F13" i="179"/>
  <c r="F19" i="179" s="1"/>
  <c r="I17" i="179"/>
  <c r="I21" i="183"/>
  <c r="G21" i="183"/>
  <c r="F21" i="183"/>
  <c r="E21" i="183"/>
  <c r="L27" i="183"/>
  <c r="L26" i="183"/>
  <c r="L25" i="183"/>
  <c r="L24" i="183"/>
  <c r="L23" i="183"/>
  <c r="L22" i="183"/>
  <c r="L20" i="183"/>
  <c r="L19" i="183"/>
  <c r="L18" i="183"/>
  <c r="L17" i="183"/>
  <c r="L16" i="183"/>
  <c r="L15" i="183"/>
  <c r="L14" i="183"/>
  <c r="L13" i="183"/>
  <c r="L12" i="183"/>
  <c r="L11" i="183"/>
  <c r="B4" i="183"/>
  <c r="G26" i="179" l="1"/>
  <c r="E26" i="179"/>
  <c r="I19" i="179"/>
  <c r="I26" i="179" s="1"/>
  <c r="F26" i="179"/>
  <c r="D35" i="171" s="1"/>
  <c r="L21" i="18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5" i="29" l="1"/>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357" i="29"/>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K356" i="29" l="1"/>
  <c r="K357" i="29" s="1"/>
  <c r="K15" i="4" s="1"/>
  <c r="D80" i="36"/>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E137" i="29" l="1"/>
  <c r="E139" i="29" s="1"/>
  <c r="L285" i="29"/>
  <c r="L137" i="29"/>
  <c r="L139" i="29" s="1"/>
  <c r="H137" i="29"/>
  <c r="H139" i="29" s="1"/>
  <c r="B1267" i="106" s="1"/>
  <c r="D1267" i="106" s="1"/>
  <c r="D17" i="171"/>
  <c r="D12" i="171"/>
  <c r="D285" i="29"/>
  <c r="F163" i="34"/>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c r="B7729" i="106"/>
  <c r="D7729" i="106" s="1"/>
  <c r="B7734" i="106"/>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B5304" i="106" s="1"/>
  <c r="D5304" i="106" s="1"/>
  <c r="C259" i="5"/>
  <c r="B6833" i="106" s="1"/>
  <c r="D6833" i="106" s="1"/>
  <c r="B7761" i="106"/>
  <c r="D7761" i="106" s="1"/>
  <c r="L127" i="29"/>
  <c r="L129" i="29" s="1"/>
  <c r="L149" i="29"/>
  <c r="I7" i="145"/>
  <c r="I6" i="145"/>
  <c r="D82" i="36"/>
  <c r="D78" i="36"/>
  <c r="K75" i="29"/>
  <c r="F52" i="34" s="1"/>
  <c r="K130" i="29"/>
  <c r="F56" i="34" s="1"/>
  <c r="K185" i="29"/>
  <c r="F62" i="34" s="1"/>
  <c r="K122" i="29"/>
  <c r="F15" i="145" s="1"/>
  <c r="F19" i="145" s="1"/>
  <c r="K67" i="29"/>
  <c r="E33" i="108" s="1"/>
  <c r="K64" i="29"/>
  <c r="F31" i="108" s="1"/>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B2633" i="106"/>
  <c r="D2633" i="106" s="1"/>
  <c r="D7" i="118"/>
  <c r="D8" i="118"/>
  <c r="D9" i="118"/>
  <c r="H14" i="118"/>
  <c r="H19" i="118"/>
  <c r="H24" i="118"/>
  <c r="B4202" i="106" l="1"/>
  <c r="D4202" i="106" s="1"/>
  <c r="B2091" i="106"/>
  <c r="D2091" i="106" s="1"/>
  <c r="D6103" i="106"/>
  <c r="D31" i="36"/>
  <c r="L22" i="37"/>
  <c r="B2027" i="106"/>
  <c r="D2027" i="106" s="1"/>
  <c r="B274" i="106"/>
  <c r="D274" i="106" s="1"/>
  <c r="B3454" i="106"/>
  <c r="D3454" i="106" s="1"/>
  <c r="B2864" i="106"/>
  <c r="D2864" i="106" s="1"/>
  <c r="B2029" i="106"/>
  <c r="D2029" i="106" s="1"/>
  <c r="B276" i="106"/>
  <c r="D276" i="106" s="1"/>
  <c r="B2026" i="106"/>
  <c r="D2026" i="106" s="1"/>
  <c r="B2028" i="106"/>
  <c r="D2028" i="106" s="1"/>
  <c r="B275" i="106"/>
  <c r="D275" i="106" s="1"/>
  <c r="D69" i="36"/>
  <c r="F64" i="34"/>
  <c r="B2805" i="106"/>
  <c r="D2805" i="106" s="1"/>
  <c r="F27" i="108"/>
  <c r="E30" i="108"/>
  <c r="D36" i="108"/>
  <c r="D31" i="108"/>
  <c r="B6995" i="106"/>
  <c r="D6995" i="106" s="1"/>
  <c r="F69" i="34"/>
  <c r="G30" i="108"/>
  <c r="D26" i="108"/>
  <c r="B7047" i="106"/>
  <c r="D7047" i="106" s="1"/>
  <c r="E15" i="145"/>
  <c r="G15" i="145" s="1"/>
  <c r="G14" i="4"/>
  <c r="B2609" i="106" s="1"/>
  <c r="D2609" i="106" s="1"/>
  <c r="F26" i="108"/>
  <c r="G35" i="108"/>
  <c r="E35" i="108"/>
  <c r="H342" i="29"/>
  <c r="B7221" i="106" s="1"/>
  <c r="D7221" i="106" s="1"/>
  <c r="F38" i="34"/>
  <c r="B1746" i="106"/>
  <c r="D1746" i="106" s="1"/>
  <c r="F45" i="34"/>
  <c r="B2836" i="106"/>
  <c r="D2836" i="106" s="1"/>
  <c r="F72" i="34"/>
  <c r="B7076" i="106"/>
  <c r="D7076" i="106" s="1"/>
  <c r="F41" i="34"/>
  <c r="F49" i="34"/>
  <c r="L13" i="11"/>
  <c r="B2060" i="106" s="1"/>
  <c r="D2060" i="106" s="1"/>
  <c r="B2733" i="106"/>
  <c r="D2733" i="106" s="1"/>
  <c r="D17" i="7"/>
  <c r="B4104" i="106" s="1"/>
  <c r="D4104" i="106" s="1"/>
  <c r="J22" i="37"/>
  <c r="E174" i="29"/>
  <c r="B1309" i="106" s="1"/>
  <c r="D1309" i="106" s="1"/>
  <c r="I342" i="29"/>
  <c r="B7222" i="106" s="1"/>
  <c r="D7222" i="106" s="1"/>
  <c r="C342" i="29"/>
  <c r="B7216" i="106" s="1"/>
  <c r="D7216"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G39" i="108"/>
  <c r="E38" i="108"/>
  <c r="D14" i="4"/>
  <c r="B2570" i="106" s="1"/>
  <c r="D2570" i="106" s="1"/>
  <c r="F37" i="108"/>
  <c r="E26" i="108"/>
  <c r="J210" i="29"/>
  <c r="B7072" i="106" s="1"/>
  <c r="D7072" i="106" s="1"/>
  <c r="F106" i="34"/>
  <c r="F34" i="34"/>
  <c r="H76" i="4"/>
  <c r="B3298" i="106" s="1"/>
  <c r="D3298" i="106" s="1"/>
  <c r="F14" i="4"/>
  <c r="B2597" i="106" s="1"/>
  <c r="D2597" i="106" s="1"/>
  <c r="F71" i="34"/>
  <c r="C14" i="4"/>
  <c r="B2558" i="106" s="1"/>
  <c r="D2558" i="106" s="1"/>
  <c r="B5096" i="106"/>
  <c r="D5096" i="106" s="1"/>
  <c r="F35" i="34"/>
  <c r="F36" i="108"/>
  <c r="J129" i="29"/>
  <c r="B7038" i="106" s="1"/>
  <c r="D7038" i="106" s="1"/>
  <c r="B1124" i="106"/>
  <c r="D1124" i="106" s="1"/>
  <c r="D13" i="7"/>
  <c r="B3726" i="106" s="1"/>
  <c r="D3726" i="106" s="1"/>
  <c r="F70" i="34"/>
  <c r="D37" i="108"/>
  <c r="I129" i="29"/>
  <c r="B7037" i="106" s="1"/>
  <c r="D7037" i="106" s="1"/>
  <c r="H112" i="29"/>
  <c r="B7018" i="106" s="1"/>
  <c r="D7018" i="106" s="1"/>
  <c r="H365" i="29"/>
  <c r="B7242" i="106" s="1"/>
  <c r="D7242" i="106" s="1"/>
  <c r="J352" i="29"/>
  <c r="J367" i="29" s="1"/>
  <c r="B7245" i="106" s="1"/>
  <c r="D7245" i="106" s="1"/>
  <c r="I210" i="29"/>
  <c r="B7071" i="106" s="1"/>
  <c r="D7071" i="106" s="1"/>
  <c r="K76" i="4"/>
  <c r="B3586" i="106" s="1"/>
  <c r="D3586" i="106" s="1"/>
  <c r="B5161" i="106"/>
  <c r="D5161" i="106" s="1"/>
  <c r="F128" i="34"/>
  <c r="B4373" i="106"/>
  <c r="D4373" i="106" s="1"/>
  <c r="K173" i="5"/>
  <c r="K6" i="4" s="1"/>
  <c r="B3570" i="106" s="1"/>
  <c r="D3570" i="106" s="1"/>
  <c r="F136" i="34"/>
  <c r="K285" i="29"/>
  <c r="B3724" i="106" s="1"/>
  <c r="D3724" i="106" s="1"/>
  <c r="L367" i="29"/>
  <c r="B7074" i="106"/>
  <c r="D7074" i="106" s="1"/>
  <c r="G29" i="108"/>
  <c r="E29" i="108"/>
  <c r="F66" i="34"/>
  <c r="G26" i="108"/>
  <c r="B1223" i="106"/>
  <c r="D1223" i="106" s="1"/>
  <c r="B1274" i="106"/>
  <c r="D1274" i="106" s="1"/>
  <c r="G38" i="108"/>
  <c r="G34" i="108"/>
  <c r="F28" i="108"/>
  <c r="E28" i="108"/>
  <c r="B2724" i="106"/>
  <c r="D2724" i="106" s="1"/>
  <c r="F42" i="34"/>
  <c r="F36" i="34"/>
  <c r="F50" i="34"/>
  <c r="F44" i="34"/>
  <c r="F46" i="34"/>
  <c r="K274" i="5"/>
  <c r="B6022" i="106" s="1"/>
  <c r="D6022" i="106" s="1"/>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B3649" i="106"/>
  <c r="D3649" i="106" s="1"/>
  <c r="G367" i="29"/>
  <c r="B3650" i="106" s="1"/>
  <c r="D3650" i="106" s="1"/>
  <c r="K350" i="29"/>
  <c r="F77" i="4"/>
  <c r="B3255" i="106" s="1"/>
  <c r="D3255" i="106" s="1"/>
  <c r="K184" i="29"/>
  <c r="F13" i="4" s="1"/>
  <c r="B2596" i="106" s="1"/>
  <c r="D2596" i="106" s="1"/>
  <c r="K24" i="12"/>
  <c r="L342" i="29"/>
  <c r="B3647" i="106"/>
  <c r="D3647" i="106" s="1"/>
  <c r="C352" i="29"/>
  <c r="L15" i="11"/>
  <c r="B3459" i="106" s="1"/>
  <c r="D3459" i="106" s="1"/>
  <c r="G210" i="29"/>
  <c r="L312" i="29"/>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J24" i="12"/>
  <c r="B7730" i="106"/>
  <c r="D7730" i="106" s="1"/>
  <c r="B7270" i="106"/>
  <c r="M23" i="3" l="1"/>
  <c r="B273" i="106"/>
  <c r="D273" i="106" s="1"/>
  <c r="D41" i="108"/>
  <c r="E43" i="108" s="1"/>
  <c r="C4" i="4"/>
  <c r="B2551" i="106" s="1"/>
  <c r="D2551" i="106" s="1"/>
  <c r="H77" i="4"/>
  <c r="B3299" i="106" s="1"/>
  <c r="D3299" i="106" s="1"/>
  <c r="G6" i="4"/>
  <c r="B2604" i="106" s="1"/>
  <c r="D2604" i="106" s="1"/>
  <c r="B5770" i="106"/>
  <c r="D5770" i="106" s="1"/>
  <c r="F41" i="108"/>
  <c r="G43" i="108" s="1"/>
  <c r="B1328" i="106"/>
  <c r="D1328" i="106" s="1"/>
  <c r="B7235" i="106"/>
  <c r="D7235" i="106" s="1"/>
  <c r="I26" i="12"/>
  <c r="B7741" i="106" s="1"/>
  <c r="D7741" i="106" s="1"/>
  <c r="D7254" i="106"/>
  <c r="D7255" i="106"/>
  <c r="D7256" i="106"/>
  <c r="D7251" i="106"/>
  <c r="D7250" i="106"/>
  <c r="J151" i="29"/>
  <c r="B7052" i="106" s="1"/>
  <c r="D7052" i="106" s="1"/>
  <c r="K28" i="118"/>
  <c r="O27" i="118" s="1"/>
  <c r="O29" i="118" s="1"/>
  <c r="L16" i="11"/>
  <c r="B2061" i="106" s="1"/>
  <c r="D2061" i="106" s="1"/>
  <c r="B1879" i="106"/>
  <c r="D1879" i="106" s="1"/>
  <c r="H22" i="37"/>
  <c r="K365" i="29"/>
  <c r="K16" i="4" s="1"/>
  <c r="K7" i="4"/>
  <c r="B3718" i="106" s="1"/>
  <c r="D3718" i="106" s="1"/>
  <c r="F173" i="5"/>
  <c r="B5653" i="106" s="1"/>
  <c r="D5653" i="106" s="1"/>
  <c r="D19" i="7"/>
  <c r="B1775" i="106" s="1"/>
  <c r="D1775" i="106" s="1"/>
  <c r="K77" i="4"/>
  <c r="B3587" i="106" s="1"/>
  <c r="D3587" i="106" s="1"/>
  <c r="I6" i="4"/>
  <c r="B5011" i="106" s="1"/>
  <c r="D5011" i="106" s="1"/>
  <c r="B6014" i="106"/>
  <c r="D6014" i="106" s="1"/>
  <c r="B1317" i="106"/>
  <c r="D1317" i="106" s="1"/>
  <c r="I151" i="29"/>
  <c r="F59" i="34" s="1"/>
  <c r="F73" i="34"/>
  <c r="G15" i="4"/>
  <c r="B6032" i="106" s="1"/>
  <c r="D6032" i="106" s="1"/>
  <c r="K342" i="29"/>
  <c r="F13" i="34" s="1"/>
  <c r="B3628" i="106"/>
  <c r="D3628" i="106" s="1"/>
  <c r="J16" i="4"/>
  <c r="B6226" i="106" s="1"/>
  <c r="D6226" i="106" s="1"/>
  <c r="B7215" i="106"/>
  <c r="D7215" i="106" s="1"/>
  <c r="B1381" i="106"/>
  <c r="D1381" i="106" s="1"/>
  <c r="L114" i="29"/>
  <c r="C114" i="29"/>
  <c r="B757" i="106" s="1"/>
  <c r="D757"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9" i="106" l="1"/>
  <c r="D279" i="106" s="1"/>
  <c r="B7224" i="106"/>
  <c r="D7224" i="106" s="1"/>
  <c r="B7243" i="106"/>
  <c r="D7243" i="106" s="1"/>
  <c r="J17" i="4"/>
  <c r="B6227" i="106" s="1"/>
  <c r="D6227" i="106" s="1"/>
  <c r="B7051" i="106"/>
  <c r="D7051" i="106" s="1"/>
  <c r="F24" i="37"/>
  <c r="F6" i="4"/>
  <c r="B2593" i="106" s="1"/>
  <c r="D2593" i="106" s="1"/>
  <c r="D7" i="4"/>
  <c r="B2567" i="106" s="1"/>
  <c r="D2567" i="106" s="1"/>
  <c r="F275" i="5"/>
  <c r="B5720" i="106" s="1"/>
  <c r="D5720" i="106" s="1"/>
  <c r="B5719" i="106"/>
  <c r="D5719" i="106" s="1"/>
  <c r="B1145" i="106"/>
  <c r="D1145" i="106" s="1"/>
  <c r="G41" i="108"/>
  <c r="G44" i="108" s="1"/>
  <c r="G45" i="108" s="1"/>
  <c r="C6" i="4"/>
  <c r="B2553" i="106" s="1"/>
  <c r="D2553" i="106" s="1"/>
  <c r="J8" i="4"/>
  <c r="B2655" i="106"/>
  <c r="D2655" i="106" s="1"/>
  <c r="H8" i="4"/>
  <c r="B2916" i="106"/>
  <c r="D2916" i="106" s="1"/>
  <c r="L41" i="3"/>
  <c r="E41" i="108"/>
  <c r="E44" i="108" s="1"/>
  <c r="E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M41" i="3" l="1"/>
  <c r="B280" i="106"/>
  <c r="D280" i="106" s="1"/>
  <c r="J19" i="4"/>
  <c r="B6229" i="106" s="1"/>
  <c r="D6229" i="106" s="1"/>
  <c r="J20" i="4"/>
  <c r="B6230" i="106" s="1"/>
  <c r="D6230" i="106" s="1"/>
  <c r="F8" i="4"/>
  <c r="D8" i="146" s="1"/>
  <c r="D8" i="4"/>
  <c r="D10" i="4" s="1"/>
  <c r="B4123" i="106" s="1"/>
  <c r="D4123" i="106" s="1"/>
  <c r="B6223" i="106"/>
  <c r="D6223" i="106" s="1"/>
  <c r="K17" i="4"/>
  <c r="K20" i="4" s="1"/>
  <c r="B3678" i="106"/>
  <c r="D3678" i="106" s="1"/>
  <c r="F76" i="34"/>
  <c r="J10" i="4"/>
  <c r="B6225" i="106" s="1"/>
  <c r="D6225" i="106" s="1"/>
  <c r="B2658" i="106"/>
  <c r="D2658" i="106" s="1"/>
  <c r="H10" i="4"/>
  <c r="B4127" i="106" s="1"/>
  <c r="D4127" i="106" s="1"/>
  <c r="B2917" i="106"/>
  <c r="D2917" i="106" s="1"/>
  <c r="D53" i="36"/>
  <c r="D10" i="171"/>
  <c r="D1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32" i="171" l="1"/>
  <c r="D49" i="171" s="1"/>
  <c r="B281" i="106"/>
  <c r="D281" i="106" s="1"/>
  <c r="D54" i="36"/>
  <c r="B2568" i="106"/>
  <c r="D2568" i="106" s="1"/>
  <c r="J78" i="4"/>
  <c r="J81" i="4" s="1"/>
  <c r="H13" i="118"/>
  <c r="K19" i="4"/>
  <c r="B4144" i="106" s="1"/>
  <c r="D4144" i="106" s="1"/>
  <c r="B3575" i="106"/>
  <c r="D3575" i="106" s="1"/>
  <c r="C8" i="146"/>
  <c r="D20" i="4"/>
  <c r="D78" i="4" s="1"/>
  <c r="F10" i="4"/>
  <c r="B4125" i="106" s="1"/>
  <c r="D4125" i="106" s="1"/>
  <c r="B2595" i="106"/>
  <c r="D2595" i="106"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B6263" i="106" l="1"/>
  <c r="D6263" i="106" s="1"/>
  <c r="B2574" i="106"/>
  <c r="D2574" i="106" s="1"/>
  <c r="C10" i="146"/>
  <c r="F8" i="146"/>
  <c r="J41" i="3"/>
  <c r="B6215" i="106"/>
  <c r="D6215"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D51" i="36"/>
  <c r="B6216" i="106"/>
  <c r="D6216" i="106" s="1"/>
  <c r="B123" i="106"/>
  <c r="D123" i="106" s="1"/>
  <c r="D41" i="3"/>
  <c r="B3567" i="106"/>
  <c r="D3567" i="106" s="1"/>
  <c r="K41" i="3"/>
  <c r="B212" i="106"/>
  <c r="D212" i="106" s="1"/>
  <c r="H41" i="3"/>
  <c r="B2912" i="106"/>
  <c r="D2912" i="106" s="1"/>
  <c r="I41" i="3"/>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89" i="106" l="1"/>
  <c r="D189" i="106" s="1"/>
  <c r="G41" i="3"/>
  <c r="N21" i="3"/>
  <c r="B140" i="106"/>
  <c r="D140" i="106" s="1"/>
  <c r="E41" i="3"/>
  <c r="B170" i="106"/>
  <c r="D170" i="106" s="1"/>
  <c r="F41" i="3"/>
  <c r="B3568" i="106"/>
  <c r="D3568" i="106" s="1"/>
  <c r="D52" i="36"/>
  <c r="B213" i="106"/>
  <c r="D213" i="106" s="1"/>
  <c r="D49" i="36"/>
  <c r="B124" i="106"/>
  <c r="D124" i="106" s="1"/>
  <c r="D45" i="36"/>
  <c r="J16" i="37"/>
  <c r="B4269" i="106" s="1"/>
  <c r="D4269" i="106" s="1"/>
  <c r="D76" i="36"/>
  <c r="B92" i="106"/>
  <c r="D92" i="106" s="1"/>
  <c r="C41" i="3"/>
  <c r="D50" i="36"/>
  <c r="B2913" i="106"/>
  <c r="D2913"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B282" i="106"/>
  <c r="D282" i="106" s="1"/>
  <c r="N23" i="3"/>
  <c r="B190" i="106"/>
  <c r="D190" i="106" s="1"/>
  <c r="D48" i="36"/>
  <c r="B141" i="106"/>
  <c r="D141" i="106" s="1"/>
  <c r="D46" i="36"/>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<sst xmlns="http://schemas.openxmlformats.org/spreadsheetml/2006/main" count="5182" uniqueCount="2156">
  <si>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</si>
  <si>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</si>
  <si>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</si>
  <si>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</si>
  <si>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</si>
  <si>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</si>
  <si>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</si>
  <si>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</si>
  <si>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</si>
  <si>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</si>
  <si>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</si>
  <si>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</si>
  <si>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</si>
  <si>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</si>
  <si>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</si>
  <si>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</si>
  <si>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</si>
  <si>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</si>
  <si>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</si>
  <si>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</si>
  <si>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</si>
  <si>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</si>
  <si>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</si>
  <si>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</si>
  <si>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</si>
  <si>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</si>
  <si>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</si>
  <si>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</si>
  <si>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</si>
  <si>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</si>
  <si>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</si>
  <si>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</si>
  <si>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</si>
  <si>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</si>
  <si>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</si>
  <si>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</si>
  <si>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</si>
  <si>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</si>
  <si>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</si>
  <si>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</si>
  <si>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</si>
  <si>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</si>
  <si>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</si>
  <si>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</si>
  <si>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</si>
  <si>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</si>
  <si>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</si>
  <si>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</si>
  <si>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</si>
  <si>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</si>
  <si>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</si>
  <si>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</si>
  <si>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</si>
  <si>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</si>
  <si>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</si>
  <si>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</si>
  <si>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</si>
  <si>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</si>
  <si>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</si>
  <si>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</si>
  <si>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</si>
  <si>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</si>
  <si>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</si>
  <si>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</si>
  <si>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</si>
  <si>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</si>
  <si>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</si>
  <si>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</si>
  <si>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</si>
  <si>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</si>
  <si>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</si>
  <si>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</si>
  <si>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</si>
  <si>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</si>
  <si>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</si>
  <si>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</si>
  <si>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</si>
  <si>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</si>
  <si>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</si>
  <si>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</si>
  <si>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</si>
  <si>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</si>
  <si>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</si>
  <si>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</si>
  <si>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</si>
  <si>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</si>
  <si>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</si>
  <si>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</si>
  <si>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</si>
  <si>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</si>
  <si>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</si>
  <si>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</si>
  <si>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</si>
  <si>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</si>
  <si>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</si>
  <si>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</si>
  <si>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</si>
  <si>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</si>
  <si>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</si>
  <si>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</si>
  <si>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</si>
  <si>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</si>
  <si>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</si>
  <si>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</si>
  <si>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</si>
  <si>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</si>
  <si>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</si>
  <si>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</si>
  <si>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</si>
  <si>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</si>
  <si>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</si>
  <si>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</si>
  <si>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</si>
  <si>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</si>
  <si>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</si>
  <si>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</si>
  <si>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</si>
  <si>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</si>
  <si>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</si>
  <si>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</si>
  <si>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</si>
  <si>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</si>
  <si>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</si>
  <si>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</si>
  <si>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</si>
  <si>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</si>
  <si>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</si>
  <si>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</si>
  <si>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</si>
  <si>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</si>
  <si>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</si>
  <si>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</si>
  <si>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</si>
  <si>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</si>
  <si>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</si>
  <si>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</si>
  <si>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</si>
  <si>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</si>
  <si>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</si>
  <si>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</si>
  <si>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</si>
  <si>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</si>
  <si>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</si>
  <si>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</si>
  <si>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</si>
  <si>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</si>
  <si>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</si>
  <si>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</si>
  <si>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</si>
  <si>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</si>
  <si>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</si>
  <si>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</si>
  <si>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</si>
  <si>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</si>
  <si>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</si>
  <si>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</si>
  <si>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</si>
  <si>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</si>
  <si>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</si>
  <si>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</si>
  <si>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</si>
  <si>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</si>
  <si>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</si>
  <si>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</si>
  <si>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</si>
  <si>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</si>
  <si>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</si>
  <si>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</si>
  <si>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</si>
  <si>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</si>
  <si>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</si>
  <si>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</si>
  <si>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</si>
  <si>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</si>
  <si>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</si>
  <si>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</si>
  <si>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</si>
  <si>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</si>
  <si>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</si>
  <si>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</si>
  <si>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</si>
  <si>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</si>
  <si>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</si>
  <si>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</si>
  <si>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</si>
  <si>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</si>
  <si>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</si>
  <si>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</si>
  <si>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</si>
  <si>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</si>
  <si>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</si>
  <si>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</si>
  <si>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</si>
  <si>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</si>
  <si>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</si>
  <si>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</si>
  <si>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</si>
  <si>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</si>
  <si>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</si>
  <si>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</si>
  <si>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</si>
  <si>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</si>
  <si>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</si>
  <si>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</si>
  <si>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</si>
  <si>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</si>
  <si>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</si>
  <si>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</si>
  <si>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</si>
  <si>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</si>
  <si>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</si>
  <si>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</si>
  <si>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</si>
  <si>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</si>
  <si>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</si>
  <si>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</si>
  <si>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</si>
  <si>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</si>
  <si>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</si>
  <si>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</si>
  <si>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</si>
  <si>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</si>
  <si>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</si>
  <si>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</si>
  <si>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</si>
  <si>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</si>
  <si>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</si>
  <si>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</si>
  <si>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</si>
  <si>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</si>
  <si>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</si>
  <si>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</si>
  <si>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</si>
  <si>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</si>
  <si>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</si>
  <si>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</si>
  <si>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</si>
  <si>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</si>
  <si>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</si>
  <si>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</si>
  <si>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</si>
  <si>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</si>
  <si>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</si>
  <si>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</si>
  <si>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</si>
  <si>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</si>
  <si>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</si>
  <si>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</si>
  <si>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</si>
  <si>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</si>
  <si>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</si>
  <si>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</si>
  <si>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</si>
  <si>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</si>
  <si>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</si>
  <si>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</si>
  <si>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</si>
  <si>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</si>
  <si>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</si>
  <si>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</si>
  <si>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</si>
  <si>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</si>
  <si>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</si>
  <si>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</si>
  <si>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</si>
  <si>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</si>
  <si>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</si>
  <si>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</si>
  <si>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</si>
  <si>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</si>
  <si>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</si>
  <si>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</si>
  <si>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</si>
  <si>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</si>
  <si>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</si>
  <si>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</si>
  <si>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</si>
  <si>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</si>
  <si>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</si>
  <si>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</si>
  <si>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</si>
  <si>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</si>
  <si>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</si>
  <si>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</si>
  <si>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</si>
  <si>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</si>
  <si>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</si>
  <si>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</si>
  <si>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</si>
  <si>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</si>
  <si>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</si>
  <si>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</si>
  <si>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</si>
  <si>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</si>
  <si>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</si>
  <si>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</si>
  <si>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</si>
  <si>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</si>
  <si>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</si>
  <si>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</si>
  <si>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</si>
  <si>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</si>
  <si>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</si>
  <si>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</si>
  <si>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</si>
  <si>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</si>
  <si>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</si>
  <si>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</si>
  <si>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</si>
  <si>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</si>
  <si>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</si>
  <si>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</si>
  <si>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</si>
  <si>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</si>
  <si>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</si>
  <si>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</si>
  <si>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</si>
  <si>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</si>
  <si>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</si>
  <si>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</si>
  <si>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</si>
  <si>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</si>
  <si>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</si>
  <si>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</si>
  <si>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</si>
  <si>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</si>
  <si>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</si>
  <si>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</si>
  <si>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</si>
  <si>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</si>
  <si>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</si>
  <si>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</si>
  <si>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</si>
  <si>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</si>
  <si>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</si>
  <si>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</si>
  <si>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</si>
  <si>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</si>
  <si>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</si>
  <si>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</si>
  <si>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</si>
  <si>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</si>
  <si>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</si>
  <si>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</si>
  <si>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</si>
  <si>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</si>
  <si>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</si>
  <si>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</si>
  <si>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</si>
  <si>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</si>
  <si>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</si>
  <si>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</si>
  <si>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</si>
  <si>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</si>
  <si>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</si>
  <si>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</si>
  <si>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</si>
  <si>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</si>
  <si>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</si>
  <si>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</si>
  <si>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</si>
  <si>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</si>
  <si>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</si>
  <si>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</si>
  <si>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</si>
  <si>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</si>
  <si>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</si>
  <si>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</si>
  <si>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</si>
  <si>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</si>
  <si>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</si>
  <si>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</si>
  <si>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</si>
  <si>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</si>
  <si>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</si>
  <si>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</si>
  <si>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</si>
  <si>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</si>
  <si>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</si>
  <si>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</si>
  <si>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</si>
  <si>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</si>
  <si>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</si>
  <si>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</si>
  <si>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</si>
  <si>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</si>
  <si>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</si>
  <si>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</si>
  <si>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</si>
  <si>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</si>
  <si>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</si>
  <si>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</si>
  <si>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</si>
  <si>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</si>
  <si>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</si>
  <si>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</si>
  <si>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</si>
  <si>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</si>
  <si>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</si>
  <si>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</si>
  <si>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</si>
  <si>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</si>
  <si>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</si>
  <si>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</si>
  <si>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</si>
  <si>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</si>
  <si>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</si>
  <si>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</si>
  <si>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</si>
  <si>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</si>
  <si>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</si>
  <si>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</si>
  <si>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</si>
  <si>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</si>
  <si>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</si>
  <si>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</si>
  <si>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</si>
  <si>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</si>
  <si>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</si>
  <si>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</si>
  <si>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</si>
  <si>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</si>
  <si>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</si>
  <si>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</si>
  <si>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</si>
  <si>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</si>
  <si>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</si>
  <si>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</si>
  <si>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</si>
  <si>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</si>
  <si>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</si>
  <si>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</si>
  <si>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</si>
  <si>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</si>
  <si>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</si>
  <si>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</si>
  <si>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</si>
  <si>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</si>
  <si>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</si>
  <si>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</si>
  <si>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</si>
  <si>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</si>
  <si>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</si>
  <si>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</si>
  <si>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</si>
  <si>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</si>
  <si>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</si>
  <si>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</si>
  <si>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</si>
  <si>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</si>
  <si>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</si>
  <si>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</si>
  <si>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</si>
  <si>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</si>
  <si>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</si>
  <si>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</si>
  <si>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</si>
  <si>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</si>
  <si>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</si>
  <si>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</si>
  <si>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</si>
  <si>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</si>
  <si>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</si>
  <si>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</si>
  <si>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</si>
  <si>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</si>
  <si>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</si>
  <si>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</si>
  <si>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</si>
  <si>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</si>
  <si>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</si>
  <si>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</si>
  <si>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</si>
  <si>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</si>
  <si>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</si>
  <si>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</si>
  <si>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</si>
  <si>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</si>
  <si>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</si>
  <si>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</si>
  <si>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</si>
  <si>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</si>
  <si>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</si>
  <si>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</si>
  <si>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</si>
  <si>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</si>
  <si>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</si>
  <si>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</si>
  <si>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</si>
  <si>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</si>
  <si>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</si>
  <si>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</si>
  <si>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</si>
  <si>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</si>
  <si>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</si>
  <si>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</si>
  <si>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</si>
  <si>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</si>
  <si>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</si>
  <si>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</si>
  <si>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</si>
  <si>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</si>
  <si>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</si>
  <si>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</si>
  <si>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</si>
  <si>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</si>
  <si>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</si>
  <si>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</si>
  <si>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</si>
  <si>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</si>
  <si>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</si>
  <si>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</si>
  <si>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</si>
  <si>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</si>
  <si>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</si>
  <si>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</si>
  <si>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</si>
  <si>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</si>
  <si>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</si>
  <si>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</si>
  <si>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</si>
  <si>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</si>
  <si>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</si>
  <si>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</si>
  <si>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</si>
  <si>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</si>
  <si>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</si>
  <si>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</si>
  <si>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</si>
  <si>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</si>
  <si>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</si>
  <si>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</si>
  <si>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</si>
  <si>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</si>
  <si>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</si>
  <si>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</si>
  <si>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</si>
  <si>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</si>
  <si>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</si>
  <si>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</si>
  <si>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</si>
  <si>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</si>
  <si>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</si>
  <si>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</si>
  <si>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</si>
  <si>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</si>
  <si>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</si>
  <si>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</si>
  <si>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</si>
  <si>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</si>
  <si>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</si>
  <si>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</si>
  <si>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</si>
  <si>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</si>
  <si>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</si>
  <si>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</si>
  <si>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</si>
  <si>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</si>
  <si>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</si>
  <si>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</si>
  <si>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</si>
  <si>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</si>
  <si>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</si>
  <si>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</si>
  <si>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</si>
  <si>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</si>
  <si>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</si>
  <si>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</si>
  <si>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</si>
  <si>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</si>
  <si>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</si>
  <si>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</si>
  <si>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</si>
  <si>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</si>
  <si>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</si>
  <si>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</si>
  <si>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</si>
  <si>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</si>
  <si>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</si>
  <si>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</si>
  <si>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</si>
  <si>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</si>
  <si>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</si>
  <si>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</si>
  <si>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</si>
  <si>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</si>
  <si>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</si>
  <si>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</si>
  <si>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</si>
  <si>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</si>
  <si>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</si>
  <si>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</si>
  <si>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</si>
  <si>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</si>
  <si>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</si>
  <si>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</si>
  <si>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</si>
  <si>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</si>
  <si>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</si>
  <si>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</si>
  <si>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</si>
  <si>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</si>
  <si>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</si>
  <si>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</si>
  <si>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</si>
  <si>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</si>
  <si>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</si>
  <si>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</si>
  <si>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</si>
  <si>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</si>
  <si>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</si>
  <si>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</si>
  <si>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</si>
  <si>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</si>
  <si>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</si>
  <si>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</si>
  <si>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</si>
  <si>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</si>
  <si>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</si>
  <si>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</si>
  <si>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</si>
  <si>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</si>
  <si>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</si>
  <si>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</si>
  <si>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</si>
  <si>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</si>
  <si>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</si>
  <si>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</si>
  <si>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</si>
  <si>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</si>
  <si>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</si>
  <si>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</si>
  <si>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</si>
  <si>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</si>
  <si>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</si>
  <si>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</si>
  <si>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</si>
  <si>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</si>
  <si>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</si>
  <si>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</si>
  <si>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</si>
  <si>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</si>
  <si>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</si>
  <si>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</si>
  <si>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</si>
  <si>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</si>
  <si>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</si>
  <si>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</si>
  <si>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</si>
  <si>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</si>
  <si>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</si>
  <si>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</si>
  <si>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</si>
  <si>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</si>
  <si>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</si>
  <si>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</si>
  <si>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</si>
  <si>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</si>
  <si>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</si>
  <si>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</si>
  <si>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</si>
  <si>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</si>
  <si>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</si>
  <si>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</si>
  <si>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</si>
  <si>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</si>
  <si>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</si>
  <si>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</si>
  <si>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</si>
  <si>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</si>
  <si>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</si>
  <si>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</si>
  <si>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</si>
  <si>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</si>
  <si>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</si>
  <si>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</si>
  <si>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</si>
  <si>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</si>
  <si>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</si>
  <si>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</si>
  <si>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</si>
  <si>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</si>
  <si>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</si>
  <si>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</si>
  <si>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</si>
  <si>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</si>
  <si>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</si>
  <si>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</si>
  <si>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</si>
  <si>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</si>
  <si>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</si>
  <si>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</si>
  <si>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</si>
  <si>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</si>
  <si>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</si>
  <si>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</si>
  <si>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</si>
  <si>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</si>
  <si>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</si>
  <si>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</si>
  <si>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</si>
  <si>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</si>
  <si>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</si>
  <si>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</si>
  <si>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</si>
  <si>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</si>
  <si>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</si>
  <si>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</si>
  <si>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</si>
  <si>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</si>
  <si>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</si>
  <si>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</si>
  <si>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</si>
  <si>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</si>
  <si>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</si>
  <si>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</si>
  <si>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</si>
  <si>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</si>
  <si>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</si>
  <si>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</si>
  <si>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</si>
  <si>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</si>
  <si>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</si>
  <si>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</si>
  <si>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</si>
  <si>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</si>
  <si>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</si>
  <si>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</si>
  <si>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</si>
  <si>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</si>
  <si>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</si>
  <si>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</si>
  <si>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</si>
  <si>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</si>
  <si>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</si>
  <si>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</si>
  <si>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</si>
  <si>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</si>
  <si>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</si>
  <si>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</si>
  <si>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</si>
  <si>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</si>
  <si>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</si>
  <si>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</si>
  <si>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</si>
  <si>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</si>
  <si>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</si>
  <si>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</si>
  <si>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</si>
  <si>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</si>
  <si>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</si>
  <si>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</si>
  <si>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</si>
  <si>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</si>
  <si>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</si>
  <si>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</si>
  <si>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</si>
  <si>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</si>
  <si>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</si>
  <si>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</si>
  <si>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</si>
  <si>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</si>
  <si>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</si>
  <si>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</si>
  <si>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</si>
  <si>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</si>
  <si>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</si>
  <si>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</si>
  <si>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</si>
  <si>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</si>
  <si>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</si>
  <si>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</si>
  <si>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</si>
  <si>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</si>
  <si>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</si>
  <si>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</si>
  <si>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</si>
  <si>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</si>
  <si>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</si>
  <si>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</si>
  <si>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</si>
  <si>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</si>
  <si>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</si>
  <si>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</si>
  <si>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</si>
  <si>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</si>
  <si>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</si>
  <si>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</si>
  <si>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</si>
  <si>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</si>
  <si>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</si>
  <si>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</si>
  <si>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</si>
  <si>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</si>
  <si>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</si>
  <si>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</si>
  <si>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</si>
  <si>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</si>
  <si>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</si>
  <si>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</si>
  <si>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</si>
  <si>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</si>
  <si>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</si>
  <si>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</si>
  <si>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</si>
  <si>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</si>
  <si>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</si>
  <si>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</si>
  <si>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</si>
  <si>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</si>
  <si>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</si>
  <si>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</si>
  <si>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</si>
  <si>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</si>
  <si>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</si>
  <si>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</si>
  <si>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</si>
  <si>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</si>
  <si>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</si>
  <si>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</si>
  <si>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</si>
  <si>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</si>
  <si>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</si>
  <si>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</si>
  <si>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</si>
  <si>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</si>
  <si>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</si>
  <si>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</si>
  <si>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</si>
  <si>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</si>
  <si>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</si>
  <si>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</si>
  <si>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</si>
  <si>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</si>
  <si>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</si>
  <si>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</si>
  <si>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</si>
  <si>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</si>
  <si>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</si>
  <si>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</si>
  <si>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</si>
  <si>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</si>
  <si>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</si>
  <si>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</si>
  <si>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</si>
  <si>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</si>
  <si>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</si>
  <si>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</si>
  <si>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</si>
  <si>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</si>
  <si>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</si>
  <si>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</si>
  <si>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</si>
  <si>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</si>
  <si>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</si>
  <si>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</si>
  <si>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</si>
  <si>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</si>
  <si>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</si>
  <si>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</si>
  <si>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</si>
  <si>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</si>
  <si>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</si>
  <si>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</si>
  <si>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</si>
  <si>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</si>
  <si>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</si>
  <si>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</si>
  <si>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</si>
  <si>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</si>
  <si>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</si>
  <si>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</si>
  <si>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</si>
  <si>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</si>
  <si>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</si>
  <si>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</si>
  <si>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</si>
  <si>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</si>
  <si>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</si>
  <si>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</si>
  <si>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</si>
  <si>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</si>
  <si>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</si>
  <si>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</si>
  <si>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</si>
  <si>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</si>
  <si>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</si>
  <si>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</si>
  <si>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</si>
  <si>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</si>
  <si>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</si>
  <si>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</si>
  <si>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</si>
  <si>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</si>
  <si>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</si>
  <si>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</si>
  <si>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</si>
  <si>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</si>
  <si>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</si>
  <si>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</si>
  <si>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</si>
  <si>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</si>
  <si>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</si>
  <si>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</si>
  <si>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</si>
  <si>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</si>
  <si>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</si>
  <si>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</si>
  <si>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</si>
  <si>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</si>
  <si>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</si>
  <si>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</si>
  <si>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</si>
  <si>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</si>
  <si>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</si>
  <si>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</si>
  <si>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</si>
  <si>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</si>
  <si>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</si>
  <si>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</si>
  <si>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</si>
  <si>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</si>
  <si>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</si>
  <si>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</si>
  <si>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</si>
  <si>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</si>
  <si>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</si>
  <si>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</si>
  <si>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</si>
  <si>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</si>
  <si>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</si>
  <si>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</si>
  <si>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</si>
  <si>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</si>
  <si>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</si>
  <si>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</si>
  <si>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</si>
  <si>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</si>
  <si>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</si>
  <si>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</si>
  <si>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</si>
  <si>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</si>
  <si>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</si>
  <si>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</si>
  <si>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</si>
  <si>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</si>
  <si>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</si>
  <si>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</si>
  <si>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</si>
  <si>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</si>
  <si>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</si>
  <si>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</si>
  <si>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</si>
  <si>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</si>
  <si>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</si>
  <si>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</si>
  <si>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</si>
  <si>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</si>
  <si>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</si>
  <si>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</si>
  <si>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</si>
  <si>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</si>
  <si>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</si>
  <si>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</si>
  <si>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</si>
  <si>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</si>
  <si>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</si>
  <si>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</si>
  <si>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</si>
  <si>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</si>
  <si>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</si>
  <si>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</si>
  <si>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</si>
  <si>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</si>
  <si>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</si>
  <si>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</si>
  <si>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</si>
  <si>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</si>
  <si>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</si>
  <si>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</si>
  <si>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</si>
  <si>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</si>
  <si>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</si>
  <si>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</si>
  <si>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</si>
  <si>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</si>
  <si>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</si>
  <si>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</si>
  <si>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</si>
  <si>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</si>
  <si>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</si>
  <si>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</si>
  <si>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</si>
  <si>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</si>
  <si>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</si>
  <si>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</si>
  <si>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</si>
  <si>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</si>
  <si>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</si>
  <si>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</si>
  <si>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</si>
  <si>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</si>
  <si>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</si>
  <si>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</si>
  <si>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</si>
  <si>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</si>
  <si>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</si>
  <si>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</si>
  <si>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</si>
  <si>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</si>
  <si>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</si>
  <si>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</si>
  <si>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</si>
  <si>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</si>
  <si>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</si>
  <si>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</si>
  <si>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</si>
  <si>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</si>
  <si>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</si>
  <si>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</si>
  <si>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</si>
  <si>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</si>
  <si>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</si>
  <si>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</si>
  <si>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</si>
  <si>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</si>
  <si>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</si>
  <si>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</si>
  <si>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</si>
  <si>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</si>
  <si>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</si>
  <si>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</si>
  <si>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</si>
  <si>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</si>
  <si>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</si>
  <si>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</si>
  <si>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</si>
  <si>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</si>
  <si>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</si>
  <si>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</si>
  <si>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</si>
  <si>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</si>
  <si>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</si>
  <si>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</si>
  <si>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</si>
  <si>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</si>
  <si>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</si>
  <si>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</si>
  <si>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</si>
  <si>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</si>
  <si>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</si>
  <si>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</si>
  <si>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</si>
  <si>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</si>
  <si>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</si>
  <si>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</si>
  <si>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</si>
  <si>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</si>
  <si>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</si>
  <si>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</si>
  <si>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</si>
  <si>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</si>
  <si>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</si>
  <si>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</si>
  <si>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</si>
  <si>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</si>
  <si>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</si>
  <si>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</si>
  <si>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</si>
  <si>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</si>
  <si>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</si>
  <si>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</si>
  <si>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</si>
  <si>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</si>
  <si>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</si>
  <si>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</si>
  <si>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</si>
  <si>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</si>
  <si>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</si>
  <si>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</si>
  <si>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</si>
  <si>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</si>
  <si>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</si>
  <si>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</si>
  <si>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</si>
  <si>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</si>
  <si>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</si>
  <si>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</si>
  <si>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</si>
  <si>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</si>
  <si>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</si>
  <si>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</si>
  <si>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</si>
  <si>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</si>
  <si>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</si>
  <si>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</si>
  <si>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</si>
  <si>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</si>
  <si>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</si>
  <si>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</si>
  <si>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</si>
  <si>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</si>
  <si>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</si>
  <si>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</si>
  <si>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</si>
  <si>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</si>
  <si>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</si>
  <si>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</si>
  <si>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</si>
  <si>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</si>
  <si>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</si>
  <si>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</si>
  <si>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</si>
  <si>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</si>
  <si>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</si>
  <si>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</si>
  <si>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</si>
  <si>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</si>
  <si>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</si>
  <si>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</si>
  <si>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</si>
  <si>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</si>
  <si>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</si>
  <si>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</si>
  <si>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</si>
  <si>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</si>
  <si>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</si>
  <si>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</si>
  <si>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</si>
  <si>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</si>
  <si>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</si>
  <si>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</si>
  <si>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</si>
  <si>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</si>
  <si>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</si>
  <si>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</si>
  <si>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</si>
  <si>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</si>
  <si>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</si>
  <si>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</si>
  <si>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</si>
  <si>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</si>
  <si>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</si>
  <si>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</si>
  <si>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</si>
  <si>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</si>
  <si>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</si>
  <si>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</si>
  <si>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</si>
  <si>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</si>
  <si>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</si>
  <si>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</si>
  <si>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</si>
  <si>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</si>
  <si>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</si>
  <si>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</si>
  <si>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</si>
  <si>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</si>
  <si>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</si>
  <si>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</si>
  <si>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</si>
  <si>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</si>
  <si>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</si>
  <si>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</si>
  <si>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</si>
  <si>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</si>
  <si>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</si>
  <si>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</si>
  <si>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</si>
  <si>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</si>
  <si>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</si>
  <si>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</si>
  <si>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</si>
  <si>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</si>
  <si>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</si>
  <si>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</si>
  <si>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</si>
  <si>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</si>
  <si>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</si>
  <si>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</si>
  <si>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</si>
  <si>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</si>
  <si>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</si>
  <si>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</si>
  <si>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</si>
  <si>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</si>
  <si>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</si>
  <si>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</si>
  <si>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</si>
  <si>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</si>
  <si>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</si>
  <si>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</si>
  <si>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</si>
  <si>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</si>
  <si>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</si>
  <si>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</si>
  <si>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</si>
  <si>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</si>
  <si>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</si>
  <si>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</si>
  <si>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</si>
  <si>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</si>
  <si>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</si>
  <si>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</si>
  <si>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</si>
  <si>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</si>
  <si>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</si>
  <si>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</si>
  <si>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</si>
  <si>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</si>
  <si>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</si>
  <si>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</si>
  <si>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</si>
  <si>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</si>
  <si>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</si>
  <si>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</si>
  <si>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</si>
  <si>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</si>
  <si>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</si>
  <si>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</si>
  <si>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</si>
  <si>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</si>
  <si>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</si>
  <si>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</si>
  <si>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</si>
  <si>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</si>
  <si>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</si>
  <si>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</si>
  <si>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</si>
  <si>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</si>
  <si>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</si>
  <si>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</si>
  <si>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</si>
  <si>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</si>
  <si>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</si>
  <si>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</si>
  <si>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</si>
  <si>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</si>
  <si>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</si>
  <si>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</si>
  <si>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</si>
  <si>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</si>
  <si>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</si>
  <si>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</si>
  <si>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</si>
  <si>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</si>
  <si>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</si>
  <si>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</si>
  <si>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</si>
  <si>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</si>
  <si>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</si>
  <si>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</si>
  <si>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</si>
  <si>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</si>
  <si>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</si>
  <si>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</si>
  <si>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</si>
  <si>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</si>
  <si>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</si>
  <si>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</si>
  <si>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</si>
  <si>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</si>
  <si>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</si>
  <si>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</si>
  <si>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</si>
  <si>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</si>
  <si>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</si>
  <si>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</si>
  <si>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</si>
  <si>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</si>
  <si>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</si>
  <si>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</si>
  <si>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</si>
  <si>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</si>
  <si>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</si>
  <si>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</si>
  <si>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</si>
  <si>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</si>
  <si>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</si>
  <si>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</si>
  <si>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</si>
  <si>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</si>
  <si>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</si>
  <si>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</si>
  <si>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</si>
  <si>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</si>
  <si>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</si>
  <si>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</si>
  <si>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</si>
  <si>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</si>
  <si>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</si>
  <si>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</si>
  <si>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</si>
  <si>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</si>
  <si>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</si>
  <si>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</si>
  <si>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</si>
  <si>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</si>
  <si>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</si>
  <si>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</si>
  <si>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</si>
  <si>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</si>
  <si>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</si>
  <si>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</si>
  <si>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</si>
  <si>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</si>
  <si>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</si>
  <si>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</si>
  <si>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</si>
  <si>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</si>
  <si>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</si>
  <si>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</si>
  <si>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</si>
  <si>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</si>
  <si>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</si>
  <si>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</si>
  <si>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</si>
  <si>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</si>
  <si>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</si>
  <si>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</si>
  <si>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</si>
  <si>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</si>
  <si>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</si>
  <si>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</si>
  <si>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</si>
  <si>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</si>
  <si>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</si>
  <si>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</si>
  <si>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</si>
  <si>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</si>
  <si>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</si>
  <si>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</si>
  <si>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</si>
  <si>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</si>
  <si>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</si>
  <si>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</si>
  <si>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</si>
  <si>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</si>
  <si>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</si>
  <si>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</si>
  <si>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</si>
  <si>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</si>
  <si>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</si>
  <si>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</si>
  <si>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</si>
  <si>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</si>
  <si>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</si>
  <si>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</si>
  <si>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</si>
  <si>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</si>
  <si>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</si>
  <si>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</si>
  <si>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</si>
  <si>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</si>
  <si>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</si>
  <si>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</si>
  <si>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</si>
  <si>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</si>
  <si>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</si>
  <si>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</si>
  <si>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</si>
  <si>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</si>
  <si>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</si>
  <si>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</si>
  <si>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</si>
  <si>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</si>
  <si>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</si>
  <si>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</si>
  <si>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</si>
  <si>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</si>
  <si>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</si>
  <si>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</si>
  <si>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</si>
  <si>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</si>
  <si>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</si>
  <si>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</si>
  <si>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</si>
  <si>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</si>
  <si>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</si>
  <si>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</si>
  <si>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</si>
  <si>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</si>
  <si>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</si>
  <si>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</si>
  <si>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</si>
  <si>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</si>
  <si>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</si>
  <si>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</si>
  <si>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</si>
  <si>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</si>
  <si>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</si>
  <si>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</si>
  <si>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</si>
  <si>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</si>
  <si>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</si>
  <si>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</si>
  <si>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</si>
  <si>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</si>
  <si>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</si>
  <si>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</si>
  <si>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</si>
  <si>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</si>
  <si>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</si>
  <si>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</si>
  <si>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</si>
  <si>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</si>
  <si>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</si>
  <si>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</si>
  <si>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</si>
  <si>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</si>
  <si>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</si>
  <si>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</si>
  <si>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</si>
  <si>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</si>
  <si>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</si>
  <si>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</si>
  <si>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</si>
  <si>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</si>
  <si>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</si>
  <si>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</si>
  <si>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</si>
  <si>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</si>
  <si>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</si>
  <si>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</si>
  <si>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</si>
  <si>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</si>
  <si>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</si>
  <si>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</si>
  <si>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</si>
  <si>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</si>
  <si>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</si>
  <si>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</si>
  <si>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</si>
  <si>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</si>
  <si>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</si>
  <si>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</si>
  <si>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</si>
  <si>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</si>
  <si>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</si>
  <si>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</si>
  <si>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</si>
  <si>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</si>
  <si>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</si>
  <si>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</si>
  <si>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</si>
  <si>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</si>
  <si>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</si>
  <si>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</si>
  <si>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</si>
  <si>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</si>
  <si>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</si>
  <si>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</si>
  <si>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</si>
  <si>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</si>
  <si>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</si>
  <si>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</si>
  <si>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</si>
  <si>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</si>
  <si>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</si>
  <si>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</si>
  <si>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</si>
  <si>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</si>
  <si>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</si>
  <si>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</si>
  <si>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</si>
  <si>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</si>
  <si>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</si>
  <si>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</si>
  <si>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</si>
  <si>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</si>
  <si>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</si>
  <si>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</si>
  <si>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</si>
  <si>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</si>
  <si>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</si>
  <si>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</si>
  <si>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</si>
  <si>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</si>
  <si>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</si>
  <si>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</si>
  <si>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</si>
  <si>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</si>
  <si>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</si>
  <si>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</si>
  <si>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</si>
  <si>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</si>
  <si>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</si>
  <si>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</si>
  <si>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</si>
  <si>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</si>
  <si>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</si>
  <si>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</si>
  <si>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</si>
  <si>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</si>
  <si>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</si>
  <si>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</si>
  <si>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</si>
  <si>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</si>
  <si>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</si>
  <si>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</si>
  <si>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</si>
  <si>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</si>
  <si>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</si>
  <si>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</si>
  <si>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</si>
  <si>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</si>
  <si>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</si>
  <si>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</si>
  <si>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</si>
  <si>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</si>
  <si>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</si>
  <si>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</si>
  <si>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</si>
  <si>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</si>
  <si>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</si>
  <si>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</si>
  <si>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</si>
  <si>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</si>
  <si>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</si>
  <si>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</si>
  <si>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</si>
  <si>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</si>
  <si>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</si>
  <si>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</si>
  <si>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</si>
  <si>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</si>
  <si>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</si>
  <si>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</si>
  <si>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</si>
  <si>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</si>
  <si>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</si>
  <si>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</si>
  <si>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</si>
  <si>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</si>
  <si>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</si>
  <si>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</si>
  <si>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</si>
  <si>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</si>
  <si>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</si>
  <si>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</si>
  <si>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</si>
  <si>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</si>
  <si>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</si>
  <si>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</si>
  <si>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</si>
  <si>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</si>
  <si>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</si>
  <si>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</si>
  <si>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</si>
  <si>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</si>
  <si>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</si>
  <si>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</si>
  <si>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</si>
  <si>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</si>
  <si>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</si>
  <si>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</si>
  <si>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</si>
  <si>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</si>
  <si>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</si>
  <si>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</si>
  <si>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</si>
  <si>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</si>
  <si>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</si>
  <si>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</si>
  <si>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</si>
  <si>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</si>
  <si>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</si>
  <si>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</si>
  <si>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</si>
  <si>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</si>
  <si>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</si>
  <si>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</si>
  <si>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</si>
  <si>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</si>
  <si>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</si>
  <si>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</si>
  <si>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</si>
  <si>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</si>
  <si>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</si>
  <si>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</si>
  <si>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</si>
  <si>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</si>
  <si>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</si>
  <si>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</si>
  <si>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</si>
  <si>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</si>
  <si>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</si>
  <si>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</si>
  <si>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</si>
  <si>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</si>
  <si>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</si>
  <si>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</si>
  <si>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</si>
  <si>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</si>
  <si>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</si>
  <si>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</si>
  <si>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</si>
  <si>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</si>
  <si>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</si>
  <si>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</si>
  <si>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</si>
  <si>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</si>
  <si>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</si>
  <si>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</si>
  <si>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</si>
  <si>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</si>
  <si>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</si>
  <si>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</si>
  <si>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</si>
  <si>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</si>
  <si>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</si>
  <si>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</si>
  <si>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</si>
  <si>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</si>
  <si>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</si>
  <si>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</si>
  <si>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</si>
  <si>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</si>
  <si>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</si>
  <si>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</si>
  <si>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</si>
  <si>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</si>
  <si>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</si>
  <si>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</si>
  <si>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</si>
  <si>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</si>
  <si>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</si>
  <si>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</si>
  <si>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</si>
  <si>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</si>
  <si>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</si>
  <si>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</si>
  <si>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</si>
  <si>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</si>
  <si>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</si>
  <si>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</si>
  <si>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</si>
  <si>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</si>
  <si>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</si>
  <si>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</si>
  <si>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</si>
  <si>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</si>
  <si>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</si>
  <si>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</si>
  <si>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</si>
  <si>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</si>
  <si>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</si>
  <si>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</si>
  <si>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</si>
  <si>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</si>
  <si>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</si>
  <si>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</si>
  <si>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</si>
  <si>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</si>
  <si>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</si>
  <si>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</si>
  <si>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</si>
  <si>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</si>
  <si>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</si>
  <si>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</si>
  <si>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</si>
  <si>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</si>
  <si>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</si>
  <si>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</si>
  <si>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</si>
  <si>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</si>
  <si>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</si>
  <si>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</si>
  <si>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</si>
  <si>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</si>
  <si>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</si>
  <si>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</si>
  <si>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</si>
  <si>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</si>
  <si>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</si>
  <si>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</si>
  <si>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</si>
  <si>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</si>
  <si>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</si>
  <si>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</si>
  <si>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</si>
  <si>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</si>
  <si>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</si>
  <si>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</si>
  <si>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</si>
  <si>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</si>
  <si>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</si>
  <si>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</si>
  <si>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</si>
  <si>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</si>
  <si>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</si>
  <si>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</si>
  <si>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</si>
  <si>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</si>
  <si>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</si>
  <si>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</si>
  <si>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</si>
  <si>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</si>
  <si>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</si>
  <si>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</si>
  <si>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</si>
  <si>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</si>
  <si>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</si>
  <si>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</si>
  <si>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</si>
  <si>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</si>
  <si>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</si>
  <si>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</si>
  <si>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</si>
  <si>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</si>
  <si>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</si>
  <si>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</si>
  <si>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</si>
  <si>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</si>
  <si>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</si>
  <si>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</si>
  <si>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</si>
  <si>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</si>
  <si>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</si>
  <si>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</si>
  <si>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</si>
  <si>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</si>
  <si>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</si>
  <si>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</si>
  <si>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</si>
  <si>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</si>
  <si>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</si>
  <si>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</si>
  <si>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</si>
  <si>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</si>
  <si>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</si>
  <si>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</si>
  <si>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</si>
  <si>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</si>
  <si>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</si>
  <si>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</si>
  <si>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</si>
  <si>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</si>
  <si>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</si>
  <si>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</si>
  <si>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</si>
  <si>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</si>
  <si>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</si>
  <si>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</si>
  <si>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</si>
  <si>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</si>
  <si>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</si>
  <si>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</si>
  <si>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</si>
  <si>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</si>
  <si>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</si>
  <si>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</si>
  <si>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</si>
  <si>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</si>
  <si>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</si>
  <si>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</si>
  <si>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</si>
  <si>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</si>
  <si>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</si>
  <si>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</si>
  <si>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</si>
  <si>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</si>
  <si>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</si>
  <si>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</si>
  <si>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</si>
  <si>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</si>
  <si>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</si>
  <si>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</si>
  <si>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</si>
  <si>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</si>
  <si>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</si>
  <si>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</si>
  <si>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</si>
  <si>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</si>
  <si>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</si>
  <si>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</si>
  <si>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</si>
  <si>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</si>
  <si>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</si>
  <si>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</si>
  <si>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</si>
  <si>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</si>
  <si>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</si>
  <si>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</si>
  <si>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</si>
  <si>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</si>
  <si>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</si>
  <si>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</si>
  <si>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</si>
  <si>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</si>
  <si>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</si>
  <si>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</si>
  <si>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</si>
  <si>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</si>
  <si>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</si>
  <si>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</si>
  <si>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</si>
  <si>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</si>
  <si>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</si>
  <si>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</si>
  <si>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</si>
  <si>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</si>
  <si>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</si>
  <si>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</si>
  <si>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</si>
  <si>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</si>
  <si>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</si>
  <si>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</si>
  <si>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</si>
  <si>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</si>
  <si>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</si>
  <si>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</si>
  <si>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</si>
  <si>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</si>
  <si>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</si>
  <si>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</si>
  <si>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</si>
  <si>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</si>
  <si>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</si>
  <si>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</si>
  <si>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</si>
  <si>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</si>
  <si>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</si>
  <si>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</si>
  <si>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</si>
  <si>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</si>
  <si>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</si>
  <si>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</si>
  <si>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</si>
  <si>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</si>
  <si>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</si>
  <si>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</si>
  <si>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</si>
  <si>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</si>
  <si>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</si>
  <si>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</si>
  <si>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</si>
  <si>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</si>
  <si>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</si>
  <si>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</si>
  <si>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</si>
  <si>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</si>
  <si>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</si>
  <si>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</si>
  <si>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</si>
  <si>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</si>
  <si>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</si>
  <si>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</si>
  <si>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</si>
  <si>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</si>
  <si>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</si>
  <si>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</si>
  <si>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</si>
  <si>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</si>
  <si>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</si>
  <si>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</si>
  <si>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</si>
  <si>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</si>
  <si>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</si>
  <si>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</si>
  <si>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</si>
  <si>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</si>
  <si>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</si>
  <si>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</si>
  <si>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</si>
  <si>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</si>
  <si>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</si>
  <si>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</si>
  <si>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</si>
  <si>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</si>
  <si>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</si>
  <si>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</si>
  <si>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</si>
  <si>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</si>
  <si>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</si>
  <si>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</si>
  <si>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</si>
  <si>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</si>
  <si>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</si>
  <si>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</si>
  <si>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</si>
  <si>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</si>
  <si>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</si>
  <si>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</si>
  <si>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</si>
  <si>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</si>
  <si>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</si>
  <si>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</si>
  <si>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</si>
  <si>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</si>
  <si>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</si>
  <si>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</si>
  <si>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</si>
  <si>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</si>
  <si>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</si>
  <si>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</si>
  <si>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</si>
  <si>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</si>
  <si>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</si>
  <si>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</si>
  <si>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</si>
  <si>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</si>
  <si>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</si>
  <si>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</si>
  <si>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</si>
  <si>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</si>
  <si>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</si>
  <si>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</si>
  <si>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</si>
  <si>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</si>
  <si>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</si>
  <si>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</si>
  <si>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</si>
  <si>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</si>
  <si>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</si>
  <si>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</si>
  <si>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</si>
  <si>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</si>
  <si>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</si>
  <si>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</si>
  <si>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</si>
  <si>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</si>
  <si>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</si>
  <si>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</si>
  <si>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</si>
  <si>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</si>
  <si>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</si>
  <si>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</si>
  <si>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</si>
  <si>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</si>
  <si>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</si>
  <si>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</si>
  <si>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</si>
  <si>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</si>
  <si>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</si>
  <si>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</si>
  <si>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</si>
  <si>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</si>
  <si>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</si>
  <si>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</si>
  <si>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</si>
  <si>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</si>
  <si>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</si>
  <si>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</si>
  <si>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</si>
  <si>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</si>
  <si>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</si>
  <si>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</si>
  <si>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</si>
  <si>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</si>
  <si>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</si>
  <si>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</si>
  <si>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</si>
  <si>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</si>
  <si>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</si>
  <si>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</si>
  <si>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</si>
  <si>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</si>
  <si>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</si>
  <si>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</si>
  <si>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</si>
  <si>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</si>
  <si>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</si>
  <si>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</si>
  <si>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</si>
  <si>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</si>
  <si>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</si>
  <si>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</si>
  <si>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</si>
  <si>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</si>
  <si>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</si>
  <si>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</si>
  <si>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</si>
  <si>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</si>
  <si>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</si>
  <si>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</si>
  <si>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</si>
  <si>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</si>
  <si>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</si>
  <si>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</si>
  <si>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</si>
  <si>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</si>
  <si>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</si>
  <si>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</si>
  <si>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</si>
  <si>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</si>
  <si>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</si>
  <si>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</si>
  <si>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</si>
  <si>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</si>
  <si>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</si>
  <si>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</si>
  <si>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</si>
  <si>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</si>
  <si>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</si>
  <si>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</si>
  <si>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</si>
  <si>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</si>
  <si>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</si>
  <si>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</si>
  <si>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</si>
  <si>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</si>
  <si>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</si>
  <si>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</si>
  <si>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</si>
  <si>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</si>
  <si>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</si>
  <si>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</si>
  <si>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</si>
  <si>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</si>
  <si>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</si>
  <si>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</si>
  <si>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</si>
  <si>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</si>
  <si>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</si>
  <si>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</si>
  <si>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</si>
  <si>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</si>
  <si>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</si>
  <si>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</si>
  <si>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</si>
  <si>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</si>
  <si>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</si>
  <si>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</si>
  <si>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</si>
  <si>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</si>
  <si>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</si>
  <si>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</si>
  <si>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</si>
  <si>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</si>
  <si>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</si>
  <si>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</si>
  <si>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</si>
  <si>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</si>
  <si>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</si>
  <si>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</si>
  <si>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</si>
  <si>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</si>
  <si>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</si>
  <si>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</si>
  <si>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</si>
  <si>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</si>
  <si>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</si>
  <si>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</si>
  <si>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</si>
  <si>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</si>
  <si>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</si>
  <si>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</si>
  <si>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</si>
  <si>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</si>
  <si>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</si>
  <si>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</si>
  <si>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</si>
  <si>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</si>
  <si>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</si>
  <si>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</si>
  <si>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</si>
  <si>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</si>
  <si>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</si>
  <si>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</si>
  <si>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</si>
  <si>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</si>
  <si>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</si>
  <si>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</si>
  <si>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</si>
  <si>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</si>
  <si>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</si>
  <si>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</si>
  <si>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</si>
  <si>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</si>
  <si>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</si>
  <si>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</si>
  <si>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</si>
  <si>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</si>
  <si>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Department of Agriculture Passed</t>
  </si>
  <si>
    <t>Through Food Services Management Company:</t>
  </si>
  <si>
    <t xml:space="preserve">     Food Donation Program</t>
  </si>
  <si>
    <t>N/A</t>
  </si>
  <si>
    <t>Through Illinois State Board of Education:</t>
  </si>
  <si>
    <t xml:space="preserve">     School Breakfast Program*</t>
  </si>
  <si>
    <t xml:space="preserve">     National School Lunch Program*</t>
  </si>
  <si>
    <t>Subtotal - CFDA - "10"</t>
  </si>
  <si>
    <t>17-4220-00</t>
  </si>
  <si>
    <t>18-4220-00</t>
  </si>
  <si>
    <t>17-4210-00</t>
  </si>
  <si>
    <t>18-4210-00</t>
  </si>
  <si>
    <t xml:space="preserve">U.S. Department of Education Passed Through </t>
  </si>
  <si>
    <t>Illinois State Board of Education:</t>
  </si>
  <si>
    <t xml:space="preserve">     IDEA - Flow Through (M)</t>
  </si>
  <si>
    <t xml:space="preserve">     IDEA - Preschool Flow Through (M)</t>
  </si>
  <si>
    <t>Subtotal CFDA "84"</t>
  </si>
  <si>
    <t>U.S. Department of Health and Human Services</t>
  </si>
  <si>
    <t xml:space="preserve">Passed Through State of Illinois Department </t>
  </si>
  <si>
    <t>Of Healthcare and Family Services:</t>
  </si>
  <si>
    <t xml:space="preserve">     Medicaid Administrative Outreach</t>
  </si>
  <si>
    <t>18-4991-00</t>
  </si>
  <si>
    <t>Total Federal Assistance</t>
  </si>
  <si>
    <t>* Project Year End 9/30</t>
  </si>
  <si>
    <t>Fee for Service amounts paid to district included in Account 2200</t>
  </si>
  <si>
    <t>Medicaid - Admin Outreach - Admin Assessment</t>
  </si>
  <si>
    <t>x</t>
  </si>
  <si>
    <t>17-4620-00</t>
  </si>
  <si>
    <t>18-4620-00</t>
  </si>
  <si>
    <t>17-4600-00</t>
  </si>
  <si>
    <t>18-4600-00</t>
  </si>
  <si>
    <t>LAKE</t>
  </si>
  <si>
    <t>18160 GAGES LAKE ROAD</t>
  </si>
  <si>
    <t>GAGES LAKE</t>
  </si>
  <si>
    <t>bwatson@sedol.us</t>
  </si>
  <si>
    <t>EDER, CASELLA &amp; CO.</t>
  </si>
  <si>
    <t>KEVIN SMITH</t>
  </si>
  <si>
    <t>5400 WEST ELM STREET, SUITE 203</t>
  </si>
  <si>
    <t>MCHENRY</t>
  </si>
  <si>
    <t>IL</t>
  </si>
  <si>
    <t>815-344-1300</t>
  </si>
  <si>
    <t>815-344-1320</t>
  </si>
  <si>
    <t>CPAS@EDERCASELLA.COM</t>
  </si>
  <si>
    <t>X</t>
  </si>
  <si>
    <t>066-005142</t>
  </si>
  <si>
    <t xml:space="preserve">Eder, Casella &amp; Co. </t>
  </si>
  <si>
    <t>Refunding Bonds 2015B</t>
  </si>
  <si>
    <t>GRAYSLAKE HIGHSCHOOL DISTRICT 127 &amp; HAWTHORN DISTRICT 73</t>
  </si>
  <si>
    <t>TRS &amp; IMRF RETIREMENT SYSTEMS</t>
  </si>
  <si>
    <t>MEMBER OF IUUPC FOR NATURAL GAS &amp; ELECTRICITY</t>
  </si>
  <si>
    <t>AGREEMENT WITH HAWTHORN DIST 73 &amp; D75 FOR FOOD SERVICES</t>
  </si>
  <si>
    <t>INTERGOV AGREEMENT WITH DISTRICT 121 FOR ROAD AND PARKING LOT USE</t>
  </si>
  <si>
    <t>MEMBER OF CLIC - GENERAL LIAB, PROPERTY &amp; WORKER COMP</t>
  </si>
  <si>
    <t>CLIENT OF ISDLAF</t>
  </si>
  <si>
    <t>SEDOL IS A SEPCIAL EDUCATION COOP W/31 MEMBER DISTRICTS</t>
  </si>
  <si>
    <t>INTERGOV AGREEMENT WITH DISTRICT 79 FOR TRANSPORTATION/SHUTTLE SERVICE</t>
  </si>
  <si>
    <r>
      <t>The accompanying Schedule of Expenditures of Federal Awards includes the federal grant activity of Special Education District of Lake County and is presented on the accrual basis of a</t>
    </r>
    <r>
      <rPr>
        <b/>
        <sz val="9"/>
        <rFont val="Calibri"/>
        <family val="2"/>
        <scheme val="minor"/>
      </rPr>
      <t>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</si>
  <si>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Special Education District of Lake County provided federal awards to subrecipients as follows:</t>
  </si>
  <si>
    <t>IDEA - Flow Through</t>
  </si>
  <si>
    <t>IDEA - Preschool Flow Through</t>
  </si>
  <si>
    <r>
      <t xml:space="preserve">The following amounts were expended in the form of non-cash assistance by Special Education District of Lake County and </t>
    </r>
    <r>
      <rPr>
        <b/>
        <sz val="9"/>
        <rFont val="Calibri"/>
        <family val="2"/>
        <scheme val="minor"/>
      </rPr>
      <t>should be</t>
    </r>
    <r>
      <rPr>
        <sz val="9"/>
        <rFont val="Calibri"/>
        <family val="2"/>
        <scheme val="minor"/>
      </rPr>
      <t xml:space="preserve"> included in the Schedule of Expenditures of Federal Awards:</t>
    </r>
  </si>
  <si>
    <t>UNMODIFIED</t>
  </si>
  <si>
    <t>IDEA - FLOW THROUGH</t>
  </si>
  <si>
    <t>IDEA - PRESCHOOL FLOW THROUGH</t>
  </si>
  <si>
    <t>NONE</t>
  </si>
  <si>
    <t xml:space="preserve">Page 5, Row 12 - Other Current Assets </t>
  </si>
  <si>
    <t>Deferred amounts for Flow Through payments</t>
  </si>
  <si>
    <t>SAFE School and ALOP Program</t>
  </si>
  <si>
    <t>Connections and other misc revenue</t>
  </si>
  <si>
    <t>Page 12, Line 171 - Other Restricted Revenue from State Sources</t>
  </si>
  <si>
    <t>Misc Revenue, STEP and VAC Grants (DHS)</t>
  </si>
  <si>
    <t>Ed Fund - Page 16, Row 56 Other Support Services School Admin</t>
  </si>
  <si>
    <t>Program Coordinators</t>
  </si>
  <si>
    <t>Bank Fees</t>
  </si>
  <si>
    <t>Support Services for Admin</t>
  </si>
  <si>
    <t>Audit Check - Special Education Coops do not have to complete Indirect Costs</t>
  </si>
  <si>
    <t>18-4299-00</t>
  </si>
  <si>
    <t>Page 10, Line 106 - Other Local Fees</t>
  </si>
  <si>
    <t>Page 10, Line 107 - Other Local Revenues</t>
  </si>
  <si>
    <t>Debt Service Fund - Page 18, Row 171 Debt Service - Other</t>
  </si>
  <si>
    <t>IMRF Fund - Page 20, Row 260 Other Support Services - School Admin</t>
  </si>
  <si>
    <t>SpEd Dist Lake Cty (SEDOL)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</si>
</sst>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7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amily val="1"/>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Alignment="0"/>
    <xf numFmtId="181" fontId="159" fillId="0" borderId="0" applyFont="0" applyFill="0" applyBorder="0" applyAlignment="0" applyProtection="0"/>
    <xf numFmtId="182" fontId="159" fillId="0" borderId="0" applyFont="0" applyFill="0" applyBorder="0" applyAlignment="0" applyProtection="0"/>
    <xf numFmtId="43" fontId="8" fillId="0" borderId="0" applyAlignment="0"/>
    <xf numFmtId="0" fontId="1" fillId="0" borderId="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183" fontId="159" fillId="0" borderId="0" applyFont="0" applyFill="0" applyBorder="0" applyAlignment="0" applyProtection="0"/>
    <xf numFmtId="184" fontId="159" fillId="0" borderId="0" applyFont="0" applyFill="0" applyBorder="0" applyAlignment="0" applyProtection="0"/>
    <xf numFmtId="43" fontId="136" fillId="0" borderId="0" applyAlignment="0"/>
    <xf numFmtId="185" fontId="159" fillId="0" borderId="0" applyFont="0" applyFill="0" applyBorder="0" applyAlignment="0" applyProtection="0">
      <alignment horizontal="right"/>
    </xf>
    <xf numFmtId="186" fontId="159" fillId="0" borderId="0" applyFont="0" applyFill="0" applyBorder="0" applyAlignment="0" applyProtection="0"/>
    <xf numFmtId="187" fontId="159" fillId="0" borderId="0" applyFont="0" applyFill="0" applyBorder="0" applyAlignment="0" applyProtection="0">
      <alignment horizontal="right"/>
    </xf>
    <xf numFmtId="188" fontId="159" fillId="0" borderId="0" applyFont="0" applyFill="0" applyBorder="0" applyAlignment="0" applyProtection="0">
      <alignment horizontal="right"/>
    </xf>
    <xf numFmtId="189" fontId="159" fillId="0" borderId="0" applyFont="0" applyFill="0" applyBorder="0" applyAlignment="0" applyProtection="0">
      <alignment horizontal="right"/>
    </xf>
    <xf numFmtId="190" fontId="159" fillId="0" borderId="0" applyFont="0" applyFill="0" applyBorder="0" applyAlignment="0" applyProtection="0"/>
    <xf numFmtId="0" fontId="140" fillId="28" borderId="0" applyNumberFormat="0" applyBorder="0" applyAlignment="0" applyProtection="0"/>
    <xf numFmtId="0" fontId="140" fillId="28" borderId="0" applyNumberFormat="0" applyBorder="0" applyAlignment="0" applyProtection="0"/>
    <xf numFmtId="0" fontId="152" fillId="29"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40" fillId="31" borderId="0" applyNumberFormat="0" applyBorder="0" applyAlignment="0" applyProtection="0"/>
    <xf numFmtId="0" fontId="140" fillId="32" borderId="0" applyNumberFormat="0" applyBorder="0" applyAlignment="0" applyProtection="0"/>
    <xf numFmtId="0" fontId="152" fillId="33"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40" fillId="31" borderId="0" applyNumberFormat="0" applyBorder="0" applyAlignment="0" applyProtection="0"/>
    <xf numFmtId="0" fontId="140" fillId="35" borderId="0" applyNumberFormat="0" applyBorder="0" applyAlignment="0" applyProtection="0"/>
    <xf numFmtId="0" fontId="152" fillId="32"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0" fillId="28" borderId="0" applyNumberFormat="0" applyBorder="0" applyAlignment="0" applyProtection="0"/>
    <xf numFmtId="0" fontId="140" fillId="32" borderId="0" applyNumberFormat="0" applyBorder="0" applyAlignment="0" applyProtection="0"/>
    <xf numFmtId="0" fontId="152" fillId="32"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40" fillId="36" borderId="0" applyNumberFormat="0" applyBorder="0" applyAlignment="0" applyProtection="0"/>
    <xf numFmtId="0" fontId="140" fillId="28" borderId="0" applyNumberFormat="0" applyBorder="0" applyAlignment="0" applyProtection="0"/>
    <xf numFmtId="0" fontId="152" fillId="29" borderId="0" applyNumberFormat="0" applyBorder="0" applyAlignment="0" applyProtection="0"/>
    <xf numFmtId="0" fontId="152" fillId="37" borderId="0" applyNumberFormat="0" applyBorder="0" applyAlignment="0" applyProtection="0"/>
    <xf numFmtId="0" fontId="152" fillId="37" borderId="0" applyNumberFormat="0" applyBorder="0" applyAlignment="0" applyProtection="0"/>
    <xf numFmtId="0" fontId="152" fillId="37" borderId="0" applyNumberFormat="0" applyBorder="0" applyAlignment="0" applyProtection="0"/>
    <xf numFmtId="0" fontId="152" fillId="37" borderId="0" applyNumberFormat="0" applyBorder="0" applyAlignment="0" applyProtection="0"/>
    <xf numFmtId="0" fontId="152" fillId="37" borderId="0" applyNumberFormat="0" applyBorder="0" applyAlignment="0" applyProtection="0"/>
    <xf numFmtId="0" fontId="152" fillId="37" borderId="0" applyNumberFormat="0" applyBorder="0" applyAlignment="0" applyProtection="0"/>
    <xf numFmtId="0" fontId="140" fillId="31" borderId="0" applyNumberFormat="0" applyBorder="0" applyAlignment="0" applyProtection="0"/>
    <xf numFmtId="0" fontId="140" fillId="38" borderId="0" applyNumberFormat="0" applyBorder="0" applyAlignment="0" applyProtection="0"/>
    <xf numFmtId="0" fontId="152" fillId="38" borderId="0" applyNumberFormat="0" applyBorder="0" applyAlignment="0" applyProtection="0"/>
    <xf numFmtId="0" fontId="152" fillId="39" borderId="0" applyNumberFormat="0" applyBorder="0" applyAlignment="0" applyProtection="0"/>
    <xf numFmtId="0" fontId="152" fillId="39" borderId="0" applyNumberFormat="0" applyBorder="0" applyAlignment="0" applyProtection="0"/>
    <xf numFmtId="0" fontId="152" fillId="39" borderId="0" applyNumberFormat="0" applyBorder="0" applyAlignment="0" applyProtection="0"/>
    <xf numFmtId="0" fontId="152" fillId="39" borderId="0" applyNumberFormat="0" applyBorder="0" applyAlignment="0" applyProtection="0"/>
    <xf numFmtId="0" fontId="152" fillId="39" borderId="0" applyNumberFormat="0" applyBorder="0" applyAlignment="0" applyProtection="0"/>
    <xf numFmtId="0" fontId="152" fillId="39"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9" fillId="0" borderId="166" applyNumberFormat="0" applyFill="0" applyAlignment="0" applyProtection="0"/>
    <xf numFmtId="191" fontId="160" fillId="0" borderId="166" applyNumberFormat="0" applyFill="0" applyAlignment="0" applyProtection="0">
      <alignment horizontal="center"/>
    </xf>
    <xf numFmtId="191" fontId="160" fillId="0" borderId="78" applyFill="0" applyAlignment="0" applyProtection="0">
      <alignment horizontal="center"/>
    </xf>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49" fillId="33" borderId="167" applyNumberFormat="0" applyAlignment="0" applyProtection="0"/>
    <xf numFmtId="0" fontId="149" fillId="33" borderId="167" applyNumberFormat="0" applyAlignment="0" applyProtection="0"/>
    <xf numFmtId="0" fontId="149" fillId="33" borderId="167" applyNumberFormat="0" applyAlignment="0" applyProtection="0"/>
    <xf numFmtId="0" fontId="149" fillId="33" borderId="167" applyNumberFormat="0" applyAlignment="0" applyProtection="0"/>
    <xf numFmtId="0" fontId="149" fillId="33" borderId="167" applyNumberFormat="0" applyAlignment="0" applyProtection="0"/>
    <xf numFmtId="0" fontId="149" fillId="33" borderId="167" applyNumberFormat="0" applyAlignment="0" applyProtection="0"/>
    <xf numFmtId="0" fontId="161" fillId="0" borderId="0" applyProtection="0"/>
    <xf numFmtId="191" fontId="160" fillId="0" borderId="0" applyFill="0" applyBorder="0" applyProtection="0">
      <alignment horizont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6"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6" fillId="0" borderId="0" applyFont="0" applyFill="0" applyBorder="0" applyAlignment="0" applyProtection="0"/>
    <xf numFmtId="43" fontId="8" fillId="0" borderId="0" applyFont="0" applyFill="0" applyBorder="0" applyAlignment="0" applyProtection="0"/>
    <xf numFmtId="43" fontId="140" fillId="0" borderId="0" applyFont="0" applyFill="0" applyBorder="0" applyAlignment="0" applyProtection="0"/>
    <xf numFmtId="3" fontId="13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6" fillId="0" borderId="0" applyFont="0" applyFill="0" applyBorder="0" applyAlignment="0" applyProtection="0"/>
    <xf numFmtId="44" fontId="8" fillId="0" borderId="0" applyFont="0" applyFill="0" applyBorder="0" applyAlignment="0" applyProtection="0"/>
    <xf numFmtId="5" fontId="136" fillId="0" borderId="0" applyFont="0" applyFill="0" applyBorder="0" applyAlignment="0" applyProtection="0"/>
    <xf numFmtId="0" fontId="138" fillId="0" borderId="0" applyProtection="0"/>
    <xf numFmtId="192" fontId="159" fillId="0" borderId="0" applyFont="0" applyFill="0" applyBorder="0" applyAlignment="0" applyProtection="0"/>
    <xf numFmtId="191" fontId="160" fillId="0" borderId="168" applyNumberFormat="0" applyFill="0" applyAlignment="0" applyProtection="0"/>
    <xf numFmtId="0" fontId="159" fillId="0" borderId="168" applyNumberFormat="0" applyFill="0" applyAlignment="0" applyProtection="0"/>
    <xf numFmtId="0" fontId="151" fillId="42" borderId="0" applyNumberFormat="0" applyBorder="0" applyAlignment="0" applyProtection="0"/>
    <xf numFmtId="0" fontId="151" fillId="43" borderId="0" applyNumberFormat="0" applyBorder="0" applyAlignment="0" applyProtection="0"/>
    <xf numFmtId="0" fontId="151" fillId="44" borderId="0" applyNumberFormat="0" applyBorder="0" applyAlignment="0" applyProtection="0"/>
    <xf numFmtId="0" fontId="162" fillId="0" borderId="0" applyProtection="0"/>
    <xf numFmtId="0" fontId="9" fillId="0" borderId="0" applyProtection="0"/>
    <xf numFmtId="0" fontId="163" fillId="0" borderId="0" applyProtection="0"/>
    <xf numFmtId="0" fontId="164" fillId="0" borderId="0" applyProtection="0"/>
    <xf numFmtId="0" fontId="165" fillId="0" borderId="0" applyProtection="0"/>
    <xf numFmtId="0" fontId="166" fillId="0" borderId="0" applyProtection="0"/>
    <xf numFmtId="0" fontId="167" fillId="0" borderId="0" applyProtection="0"/>
    <xf numFmtId="2" fontId="138" fillId="0" borderId="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2" fillId="0" borderId="169" applyNumberFormat="0" applyFill="0" applyAlignment="0" applyProtection="0"/>
    <xf numFmtId="0" fontId="142" fillId="0" borderId="169" applyNumberFormat="0" applyFill="0" applyAlignment="0" applyProtection="0"/>
    <xf numFmtId="0" fontId="142" fillId="0" borderId="169" applyNumberFormat="0" applyFill="0" applyAlignment="0" applyProtection="0"/>
    <xf numFmtId="0" fontId="142" fillId="0" borderId="169" applyNumberFormat="0" applyFill="0" applyAlignment="0" applyProtection="0"/>
    <xf numFmtId="0" fontId="142" fillId="0" borderId="169" applyNumberFormat="0" applyFill="0" applyAlignment="0" applyProtection="0"/>
    <xf numFmtId="0" fontId="142" fillId="0" borderId="169" applyNumberFormat="0" applyFill="0" applyAlignment="0" applyProtection="0"/>
    <xf numFmtId="0" fontId="143" fillId="0" borderId="170" applyNumberFormat="0" applyFill="0" applyAlignment="0" applyProtection="0"/>
    <xf numFmtId="0" fontId="143" fillId="0" borderId="170" applyNumberFormat="0" applyFill="0" applyAlignment="0" applyProtection="0"/>
    <xf numFmtId="0" fontId="143" fillId="0" borderId="170" applyNumberFormat="0" applyFill="0" applyAlignment="0" applyProtection="0"/>
    <xf numFmtId="0" fontId="143" fillId="0" borderId="170" applyNumberFormat="0" applyFill="0" applyAlignment="0" applyProtection="0"/>
    <xf numFmtId="0" fontId="143" fillId="0" borderId="170" applyNumberFormat="0" applyFill="0" applyAlignment="0" applyProtection="0"/>
    <xf numFmtId="0" fontId="143" fillId="0" borderId="170" applyNumberFormat="0" applyFill="0" applyAlignment="0" applyProtection="0"/>
    <xf numFmtId="0" fontId="144" fillId="0" borderId="171" applyNumberFormat="0" applyFill="0" applyAlignment="0" applyProtection="0"/>
    <xf numFmtId="0" fontId="144" fillId="0" borderId="171" applyNumberFormat="0" applyFill="0" applyAlignment="0" applyProtection="0"/>
    <xf numFmtId="0" fontId="144" fillId="0" borderId="171" applyNumberFormat="0" applyFill="0" applyAlignment="0" applyProtection="0"/>
    <xf numFmtId="0" fontId="144" fillId="0" borderId="171" applyNumberFormat="0" applyFill="0" applyAlignment="0" applyProtection="0"/>
    <xf numFmtId="0" fontId="144" fillId="0" borderId="171" applyNumberFormat="0" applyFill="0" applyAlignment="0" applyProtection="0"/>
    <xf numFmtId="0" fontId="144" fillId="0" borderId="171"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68" fillId="0" borderId="0" applyProtection="0"/>
    <xf numFmtId="0" fontId="139" fillId="0" borderId="0" applyProtection="0"/>
    <xf numFmtId="0" fontId="31"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93" fontId="159" fillId="0" borderId="0" applyFont="0" applyFill="0" applyBorder="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56" fillId="0" borderId="172" applyNumberFormat="0" applyFill="0" applyAlignment="0" applyProtection="0"/>
    <xf numFmtId="0" fontId="156" fillId="0" borderId="172" applyNumberFormat="0" applyFill="0" applyAlignment="0" applyProtection="0"/>
    <xf numFmtId="0" fontId="156" fillId="0" borderId="172" applyNumberFormat="0" applyFill="0" applyAlignment="0" applyProtection="0"/>
    <xf numFmtId="0" fontId="156" fillId="0" borderId="172" applyNumberFormat="0" applyFill="0" applyAlignment="0" applyProtection="0"/>
    <xf numFmtId="0" fontId="156" fillId="0" borderId="172" applyNumberFormat="0" applyFill="0" applyAlignment="0" applyProtection="0"/>
    <xf numFmtId="0" fontId="156" fillId="0" borderId="172" applyNumberFormat="0" applyFill="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60" fillId="0" borderId="0" applyNumberFormat="0" applyFill="0" applyAlignment="0" applyProtection="0"/>
    <xf numFmtId="0" fontId="136" fillId="0" borderId="0"/>
    <xf numFmtId="0" fontId="8" fillId="0" borderId="0"/>
    <xf numFmtId="0" fontId="8" fillId="0" borderId="0"/>
    <xf numFmtId="0" fontId="136" fillId="0" borderId="0"/>
    <xf numFmtId="0" fontId="1" fillId="0" borderId="0"/>
    <xf numFmtId="0" fontId="137" fillId="0" borderId="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194" fontId="160" fillId="0" borderId="0" applyFill="0" applyBorder="0" applyProtection="0">
      <alignment horizontal="right"/>
    </xf>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195" fontId="160" fillId="0" borderId="0" applyProtection="0"/>
    <xf numFmtId="0" fontId="141" fillId="0" borderId="0" applyNumberFormat="0" applyFill="0" applyBorder="0" applyAlignment="0" applyProtection="0"/>
    <xf numFmtId="0" fontId="160" fillId="0" borderId="78" applyNumberFormat="0" applyFill="0" applyAlignment="0" applyProtection="0"/>
    <xf numFmtId="8" fontId="169" fillId="0" borderId="0" applyNumberFormat="0" applyFill="0" applyBorder="0" applyAlignment="0" applyProtection="0"/>
    <xf numFmtId="0" fontId="158" fillId="0" borderId="0" applyNumberFormat="0" applyBorder="0" applyAlignment="0"/>
    <xf numFmtId="0" fontId="170" fillId="0" borderId="0" applyNumberFormat="0" applyBorder="0" applyAlignment="0"/>
    <xf numFmtId="0" fontId="159" fillId="0" borderId="174" applyNumberFormat="0" applyFont="0" applyFill="0" applyAlignment="0" applyProtection="0"/>
    <xf numFmtId="0" fontId="159" fillId="0" borderId="175" applyNumberFormat="0" applyFont="0" applyFill="0" applyAlignment="0" applyProtection="0"/>
    <xf numFmtId="0" fontId="159" fillId="0" borderId="142" applyNumberFormat="0" applyFon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136" fillId="0" borderId="0" applyAlignment="0"/>
    <xf numFmtId="43" fontId="8" fillId="0" borderId="0" applyAlignment="0"/>
    <xf numFmtId="43" fontId="136" fillId="0" borderId="0" applyAlignment="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3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3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3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34"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34"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34"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33"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33"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33"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30"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30"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30"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37"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37"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37"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39"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39"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39"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54" fillId="40"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54" fillId="40"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54" fillId="40"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55" fillId="41"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55" fillId="41"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55" fillId="41"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33"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33"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33"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35"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35"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35"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42" fillId="0" borderId="169"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42" fillId="0" borderId="169"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42" fillId="0" borderId="169"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43"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43"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43"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44" fillId="0" borderId="171"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44" fillId="0" borderId="171"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44" fillId="0" borderId="171"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4"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4"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4"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57"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38"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38"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38"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56"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56"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56"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45"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45"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45"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8" fillId="0" borderId="0"/>
    <xf numFmtId="0" fontId="8" fillId="0" borderId="0"/>
    <xf numFmtId="0" fontId="8" fillId="0" borderId="0"/>
    <xf numFmtId="0" fontId="136"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37" fillId="0" borderId="0"/>
    <xf numFmtId="0" fontId="8" fillId="0" borderId="0"/>
    <xf numFmtId="0" fontId="8" fillId="0" borderId="0"/>
    <xf numFmtId="0" fontId="8" fillId="0" borderId="0"/>
    <xf numFmtId="0" fontId="8" fillId="0" borderId="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31"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31"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31"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6"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6"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6"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xf numFmtId="0" fontId="8" fillId="0" borderId="0"/>
    <xf numFmtId="43" fontId="1" fillId="0" borderId="0" applyFont="0" applyFill="0" applyBorder="0" applyAlignment="0" applyProtection="0"/>
    <xf numFmtId="5" fontId="8" fillId="0" borderId="0" applyFont="0" applyFill="0" applyBorder="0" applyAlignment="0" applyProtection="0"/>
    <xf numFmtId="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49" fillId="0" borderId="0"/>
    <xf numFmtId="0" fontId="1" fillId="0" borderId="0"/>
    <xf numFmtId="43" fontId="1" fillId="0" borderId="0" applyFont="0" applyFill="0" applyBorder="0" applyAlignment="0" applyProtection="0"/>
    <xf numFmtId="0" fontId="1" fillId="0" borderId="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55" fillId="41"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55" fillId="41"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55" fillId="41"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38"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38"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38"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31"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31"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31"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9" fillId="0" borderId="142" applyNumberFormat="0" applyFont="0" applyFill="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6"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6"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6"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53" fillId="0" borderId="0" applyNumberFormat="0" applyFill="0" applyBorder="0" applyAlignment="0" applyProtection="0">
      <alignment vertical="top"/>
      <protection locked="0"/>
    </xf>
    <xf numFmtId="0" fontId="1" fillId="0" borderId="0"/>
    <xf numFmtId="0" fontId="8"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0" fillId="0" borderId="22" xfId="3" applyNumberFormat="1" applyFont="1" applyFill="1" applyBorder="1" applyAlignment="1" applyProtection="1">
      <alignment horizontal="left" vertical="center" wrapText="1"/>
      <protection locked="0"/>
    </xf>
    <xf numFmtId="169" fontId="60" fillId="0" borderId="22" xfId="3" applyNumberFormat="1" applyFont="1" applyFill="1" applyBorder="1" applyAlignment="1" applyProtection="1">
      <alignment horizontal="center"/>
      <protection locked="0"/>
    </xf>
    <xf numFmtId="1" fontId="60" fillId="0" borderId="22" xfId="3"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3" fontId="60" fillId="0" borderId="8" xfId="3" applyNumberFormat="1" applyFont="1" applyFill="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883227</xdr:colOff>
          <xdr:row>4</xdr:row>
          <xdr:rowOff>60613</xdr:rowOff>
        </xdr:from>
        <xdr:to>
          <xdr:col>1</xdr:col>
          <xdr:colOff>1797627</xdr:colOff>
          <xdr:row>8</xdr:row>
          <xdr:rowOff>98713</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C1451439-4F88-4C70-9836-4D6A925765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5" t="s">
        <v>1685</v>
      </c>
      <c r="B3" s="156"/>
      <c r="C3" s="156"/>
      <c r="D3" s="157"/>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4"/>
      <c r="C5" s="26" t="s">
        <v>966</v>
      </c>
      <c r="D5" s="84"/>
      <c r="E5" s="84"/>
      <c r="H5" s="38"/>
      <c r="I5" s="2013" t="s">
        <v>701</v>
      </c>
      <c r="J5" s="2012"/>
      <c r="K5" s="2012"/>
      <c r="L5" s="2012"/>
      <c r="M5" s="2012"/>
      <c r="N5" s="2012"/>
      <c r="O5" s="2012"/>
      <c r="P5" s="2012"/>
      <c r="Q5" s="2012"/>
      <c r="R5" s="2012"/>
      <c r="S5" s="2012"/>
    </row>
    <row r="6" spans="1:28" ht="14.1" customHeight="1" x14ac:dyDescent="0.2">
      <c r="B6" s="104" t="s">
        <v>2100</v>
      </c>
      <c r="C6" s="26" t="s">
        <v>967</v>
      </c>
      <c r="D6" s="84"/>
      <c r="E6" s="84"/>
      <c r="I6" s="2011" t="s">
        <v>938</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8"/>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9" t="s">
        <v>2100</v>
      </c>
      <c r="P12" s="100" t="s">
        <v>211</v>
      </c>
      <c r="Q12" s="74"/>
      <c r="R12" s="30"/>
      <c r="S12" s="30"/>
      <c r="T12" s="85" t="s">
        <v>283</v>
      </c>
      <c r="U12" s="51"/>
      <c r="V12" s="51"/>
      <c r="W12" s="51"/>
      <c r="X12" s="51"/>
      <c r="Y12" s="45"/>
      <c r="Z12" s="45"/>
      <c r="AA12" s="46"/>
    </row>
    <row r="13" spans="1:28" ht="13.5" customHeight="1" x14ac:dyDescent="0.2">
      <c r="A13" s="2038">
        <v>34049825060</v>
      </c>
      <c r="B13" s="2039"/>
      <c r="C13" s="2039"/>
      <c r="D13" s="2039"/>
      <c r="E13" s="2039"/>
      <c r="F13" s="2039"/>
      <c r="G13" s="2039"/>
      <c r="H13" s="2040"/>
      <c r="I13" s="31"/>
      <c r="J13" s="30"/>
      <c r="K13" s="28"/>
      <c r="L13" s="30"/>
      <c r="M13" s="30"/>
      <c r="N13" s="30"/>
      <c r="O13" s="30"/>
      <c r="P13" s="30"/>
      <c r="Q13" s="30"/>
      <c r="R13" s="30"/>
      <c r="S13" s="30"/>
      <c r="T13" s="2043" t="s">
        <v>2109</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2105</v>
      </c>
      <c r="B15" s="2041"/>
      <c r="C15" s="2041"/>
      <c r="D15" s="2041"/>
      <c r="E15" s="2041"/>
      <c r="F15" s="2041"/>
      <c r="G15" s="2041"/>
      <c r="H15" s="2042"/>
      <c r="T15" s="2047" t="s">
        <v>2110</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2155</v>
      </c>
      <c r="B17" s="1998"/>
      <c r="C17" s="1998"/>
      <c r="D17" s="1998"/>
      <c r="E17" s="1998"/>
      <c r="F17" s="1998"/>
      <c r="G17" s="1998"/>
      <c r="H17" s="2023"/>
      <c r="T17" s="2054" t="s">
        <v>2111</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9" t="s">
        <v>698</v>
      </c>
      <c r="AA18" s="46"/>
    </row>
    <row r="19" spans="1:27" ht="13.5" customHeight="1" x14ac:dyDescent="0.2">
      <c r="A19" s="2037" t="s">
        <v>2106</v>
      </c>
      <c r="B19" s="1983"/>
      <c r="C19" s="1983"/>
      <c r="D19" s="1983"/>
      <c r="E19" s="1983"/>
      <c r="F19" s="1983"/>
      <c r="G19" s="1983"/>
      <c r="H19" s="1963"/>
      <c r="I19" s="30"/>
      <c r="J19" s="99"/>
      <c r="K19" s="40"/>
      <c r="L19" s="38"/>
      <c r="M19" s="112" t="s">
        <v>333</v>
      </c>
      <c r="P19" s="27"/>
      <c r="Q19" s="27"/>
      <c r="R19" s="27"/>
      <c r="S19" s="31"/>
      <c r="T19" s="2037" t="s">
        <v>2112</v>
      </c>
      <c r="U19" s="1962"/>
      <c r="V19" s="1962"/>
      <c r="W19" s="1963"/>
      <c r="X19" s="2052" t="s">
        <v>2113</v>
      </c>
      <c r="Y19" s="2053"/>
      <c r="Z19" s="2050">
        <v>60050</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1" t="s">
        <v>2107</v>
      </c>
      <c r="B21" s="1962"/>
      <c r="C21" s="1962"/>
      <c r="D21" s="1962"/>
      <c r="E21" s="1962"/>
      <c r="F21" s="1962"/>
      <c r="G21" s="1962"/>
      <c r="H21" s="1963"/>
      <c r="I21" s="2017" t="s">
        <v>699</v>
      </c>
      <c r="J21" s="2012"/>
      <c r="K21" s="2012"/>
      <c r="L21" s="2012"/>
      <c r="M21" s="2012"/>
      <c r="N21" s="2012"/>
      <c r="O21" s="2012"/>
      <c r="P21" s="2012"/>
      <c r="Q21" s="2012"/>
      <c r="R21" s="2012"/>
      <c r="S21" s="2018"/>
      <c r="T21" s="2061" t="s">
        <v>2114</v>
      </c>
      <c r="U21" s="2062"/>
      <c r="V21" s="2062"/>
      <c r="W21" s="2062"/>
      <c r="X21" s="2067" t="s">
        <v>2115</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4" t="s">
        <v>2108</v>
      </c>
      <c r="B23" s="2015"/>
      <c r="C23" s="2015"/>
      <c r="D23" s="2015"/>
      <c r="E23" s="2015"/>
      <c r="F23" s="2015"/>
      <c r="G23" s="2015"/>
      <c r="H23" s="2016"/>
      <c r="T23" s="1997" t="s">
        <v>2118</v>
      </c>
      <c r="U23" s="2060"/>
      <c r="V23" s="2060"/>
      <c r="W23" s="2060"/>
      <c r="X23" s="2064">
        <v>44530</v>
      </c>
      <c r="Y23" s="2065"/>
      <c r="Z23" s="2065"/>
      <c r="AA23" s="2066"/>
    </row>
    <row r="24" spans="1:27" ht="14.1" customHeight="1" x14ac:dyDescent="0.2">
      <c r="A24" s="88" t="s">
        <v>698</v>
      </c>
      <c r="B24" s="49"/>
      <c r="C24" s="49"/>
      <c r="D24" s="49"/>
      <c r="E24" s="49"/>
      <c r="F24" s="49"/>
      <c r="G24" s="49"/>
      <c r="H24" s="61"/>
      <c r="J24" s="1984" t="str">
        <f>IF(B5="x",IF(AUDITCHECK!D29="AFR form Incomplete.","",IF(AUDITCHECK!D29="Deficit reduction plan is required.","School District must complete a deficit reduction plan in the 2018-2019 Budget",)),"")</f>
        <v/>
      </c>
      <c r="K24" s="1984"/>
      <c r="L24" s="1984"/>
      <c r="M24" s="1984"/>
      <c r="N24" s="1984"/>
      <c r="O24" s="1984"/>
      <c r="P24" s="1984"/>
      <c r="Q24" s="1984"/>
      <c r="R24" s="1984"/>
      <c r="S24" s="1985"/>
      <c r="T24" s="105" t="s">
        <v>552</v>
      </c>
      <c r="U24" s="106"/>
      <c r="V24" s="106"/>
      <c r="W24" s="106"/>
      <c r="X24" s="107"/>
      <c r="Y24" s="107"/>
      <c r="Z24" s="107"/>
      <c r="AA24" s="108"/>
    </row>
    <row r="25" spans="1:27" ht="14.1" customHeight="1" x14ac:dyDescent="0.2">
      <c r="A25" s="1961"/>
      <c r="B25" s="1962"/>
      <c r="C25" s="1962"/>
      <c r="D25" s="1962"/>
      <c r="E25" s="1962"/>
      <c r="F25" s="1962"/>
      <c r="G25" s="1962"/>
      <c r="H25" s="1963"/>
      <c r="I25" s="113"/>
      <c r="J25" s="1986"/>
      <c r="K25" s="1986"/>
      <c r="L25" s="1986"/>
      <c r="M25" s="1986"/>
      <c r="N25" s="1986"/>
      <c r="O25" s="1986"/>
      <c r="P25" s="1986"/>
      <c r="Q25" s="1986"/>
      <c r="R25" s="1986"/>
      <c r="S25" s="1987"/>
      <c r="T25" s="2057" t="s">
        <v>2116</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2" t="s">
        <v>1591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2117</v>
      </c>
      <c r="F29" s="141" t="s">
        <v>1383</v>
      </c>
      <c r="G29" s="114"/>
      <c r="I29" s="54"/>
      <c r="J29" s="148" t="s">
        <v>2117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2117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2117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c r="B42" s="1981"/>
      <c r="C42" s="1982"/>
      <c r="D42" s="1980"/>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I29" sqref="AI2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1902</v>
      </c>
      <c r="B2" s="1550" t="s">
        <v>2034</v>
      </c>
      <c r="C2" s="715" t="s">
        <v>1907</v>
      </c>
      <c r="D2" s="715" t="s">
        <v>1908</v>
      </c>
      <c r="E2" s="715" t="s">
        <v>1909</v>
      </c>
      <c r="F2" s="715" t="s">
        <v>1910</v>
      </c>
    </row>
    <row r="3" spans="1:6" ht="12" customHeight="1" x14ac:dyDescent="0.2">
      <c r="A3" s="2204"/>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7" colorId="8" zoomScale="110" zoomScaleNormal="110" workbookViewId="0">
      <selection activeCell="AI29" sqref="AI2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650</v>
      </c>
      <c r="B1" s="2223"/>
      <c r="C1" s="722"/>
    </row>
    <row r="2" spans="1:7" ht="33.75" x14ac:dyDescent="0.2">
      <c r="A2" s="2230" t="s">
        <v>1902</v>
      </c>
      <c r="B2" s="2231"/>
      <c r="C2" s="1909" t="s">
        <v>2035</v>
      </c>
      <c r="D2" s="724" t="s">
        <v>2042</v>
      </c>
      <c r="E2" s="724" t="s">
        <v>2043</v>
      </c>
      <c r="F2" s="1909" t="s">
        <v>2036</v>
      </c>
    </row>
    <row r="3" spans="1:7" ht="15.75" customHeight="1" x14ac:dyDescent="0.2">
      <c r="A3" s="2232" t="s">
        <v>1176</v>
      </c>
      <c r="B3" s="2233"/>
      <c r="C3" s="2226"/>
      <c r="D3" s="2227"/>
      <c r="E3" s="2227"/>
      <c r="F3" s="2228"/>
    </row>
    <row r="4" spans="1:7" ht="12.75" customHeight="1" thickBot="1" x14ac:dyDescent="0.25">
      <c r="A4" s="2220" t="s">
        <v>651</v>
      </c>
      <c r="B4" s="2221"/>
      <c r="C4" s="581"/>
      <c r="D4" s="581"/>
      <c r="E4" s="581"/>
      <c r="F4" s="1777">
        <f>SUM(C4+D4)-E4</f>
        <v>0</v>
      </c>
    </row>
    <row r="5" spans="1:7" ht="15.75" customHeight="1" thickTop="1" x14ac:dyDescent="0.2">
      <c r="A5" s="2224" t="s">
        <v>1172</v>
      </c>
      <c r="B5" s="2219"/>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6" t="s">
        <v>652</v>
      </c>
      <c r="B15" s="2217"/>
      <c r="C15" s="1777">
        <f>SUM(C6:C14)</f>
        <v>0</v>
      </c>
      <c r="D15" s="1777">
        <f>SUM(D6:D14)</f>
        <v>0</v>
      </c>
      <c r="E15" s="1777">
        <f>SUM(E6:E14)</f>
        <v>0</v>
      </c>
      <c r="F15" s="1777">
        <f>SUM(F6:F14)</f>
        <v>0</v>
      </c>
      <c r="G15" s="552"/>
    </row>
    <row r="16" spans="1:7" s="202" customFormat="1" ht="15.75" customHeight="1" thickTop="1" x14ac:dyDescent="0.2">
      <c r="A16" s="2229" t="s">
        <v>1173</v>
      </c>
      <c r="B16" s="2219"/>
      <c r="C16" s="2213"/>
      <c r="D16" s="2214"/>
      <c r="E16" s="2214"/>
      <c r="F16" s="2215"/>
    </row>
    <row r="17" spans="1:11" ht="12.75" customHeight="1" thickBot="1" x14ac:dyDescent="0.25">
      <c r="A17" s="2211" t="s">
        <v>66</v>
      </c>
      <c r="B17" s="2212"/>
      <c r="C17" s="727"/>
      <c r="D17" s="585"/>
      <c r="E17" s="727"/>
      <c r="F17" s="1777">
        <f>SUM(C17+D17)-E17</f>
        <v>0</v>
      </c>
    </row>
    <row r="18" spans="1:11" ht="12.75" customHeight="1" thickTop="1" thickBot="1" x14ac:dyDescent="0.25">
      <c r="A18" s="2211" t="s">
        <v>6</v>
      </c>
      <c r="B18" s="2212"/>
      <c r="C18" s="727"/>
      <c r="D18" s="585"/>
      <c r="E18" s="727"/>
      <c r="F18" s="1777">
        <f>SUM(C18+D18)-E18</f>
        <v>0</v>
      </c>
    </row>
    <row r="19" spans="1:11" ht="12.75" customHeight="1" thickTop="1" thickBot="1" x14ac:dyDescent="0.25">
      <c r="A19" s="2211" t="s">
        <v>406</v>
      </c>
      <c r="B19" s="2212"/>
      <c r="C19" s="727"/>
      <c r="D19" s="585"/>
      <c r="E19" s="727"/>
      <c r="F19" s="1777">
        <f>SUM(C19+D19)-E19</f>
        <v>0</v>
      </c>
    </row>
    <row r="20" spans="1:11" ht="12.75" customHeight="1" thickTop="1" thickBot="1" x14ac:dyDescent="0.25">
      <c r="A20" s="2211" t="s">
        <v>468</v>
      </c>
      <c r="B20" s="2212"/>
      <c r="C20" s="727"/>
      <c r="D20" s="585"/>
      <c r="E20" s="727"/>
      <c r="F20" s="1777">
        <f>SUM(C20+D20)-E20</f>
        <v>0</v>
      </c>
    </row>
    <row r="21" spans="1:11" ht="14.25" thickTop="1" thickBot="1" x14ac:dyDescent="0.25">
      <c r="A21" s="2216" t="s">
        <v>653</v>
      </c>
      <c r="B21" s="2217"/>
      <c r="C21" s="1777">
        <f>SUM(C17:C20)</f>
        <v>0</v>
      </c>
      <c r="D21" s="1777">
        <f>SUM(D17:D20)</f>
        <v>0</v>
      </c>
      <c r="E21" s="1777">
        <f>SUM(E17:E20)</f>
        <v>0</v>
      </c>
      <c r="F21" s="1777">
        <f>SUM(F17:F20)</f>
        <v>0</v>
      </c>
      <c r="G21" s="552"/>
    </row>
    <row r="22" spans="1:11" ht="15.75" customHeight="1" thickTop="1" x14ac:dyDescent="0.2">
      <c r="A22" s="2218" t="s">
        <v>1174</v>
      </c>
      <c r="B22" s="2219"/>
      <c r="C22" s="2213"/>
      <c r="D22" s="2214"/>
      <c r="E22" s="2214"/>
      <c r="F22" s="2215"/>
    </row>
    <row r="23" spans="1:11" ht="13.5" thickBot="1" x14ac:dyDescent="0.25">
      <c r="A23" s="2220" t="s">
        <v>654</v>
      </c>
      <c r="B23" s="2221"/>
      <c r="C23" s="581"/>
      <c r="D23" s="581"/>
      <c r="E23" s="581"/>
      <c r="F23" s="1777">
        <f>SUM(C23+D23)-E23</f>
        <v>0</v>
      </c>
      <c r="G23" s="552"/>
    </row>
    <row r="24" spans="1:11" ht="15.75" customHeight="1" thickTop="1" x14ac:dyDescent="0.2">
      <c r="A24" s="2218" t="s">
        <v>1175</v>
      </c>
      <c r="B24" s="2219"/>
      <c r="C24" s="2213"/>
      <c r="D24" s="2214"/>
      <c r="E24" s="2214"/>
      <c r="F24" s="2215"/>
    </row>
    <row r="25" spans="1:11" ht="13.5" thickBot="1" x14ac:dyDescent="0.25">
      <c r="A25" s="2220" t="s">
        <v>655</v>
      </c>
      <c r="B25" s="2221"/>
      <c r="C25" s="581"/>
      <c r="D25" s="581"/>
      <c r="E25" s="581"/>
      <c r="F25" s="1777">
        <f>SUM(C25+D25)-E25</f>
        <v>0</v>
      </c>
      <c r="G25" s="552"/>
    </row>
    <row r="26" spans="1:11" ht="15.75" customHeight="1" thickTop="1" x14ac:dyDescent="0.2">
      <c r="A26" s="2224" t="s">
        <v>678</v>
      </c>
      <c r="B26" s="2219"/>
      <c r="C26" s="728"/>
      <c r="D26" s="728"/>
      <c r="E26" s="728"/>
      <c r="F26" s="729"/>
    </row>
    <row r="27" spans="1:11" ht="13.5" thickBot="1" x14ac:dyDescent="0.25">
      <c r="A27" s="2216" t="s">
        <v>1130</v>
      </c>
      <c r="B27" s="2217"/>
      <c r="C27" s="585"/>
      <c r="D27" s="585"/>
      <c r="E27" s="585"/>
      <c r="F27" s="1777">
        <f>SUM(C27+D27)-E27</f>
        <v>0</v>
      </c>
      <c r="G27" s="552"/>
    </row>
    <row r="28" spans="1:11" ht="7.5" customHeight="1" thickTop="1" x14ac:dyDescent="0.2">
      <c r="A28" s="594"/>
    </row>
    <row r="29" spans="1:11" ht="23.25" customHeight="1" x14ac:dyDescent="0.2">
      <c r="A29" s="2222" t="s">
        <v>603</v>
      </c>
      <c r="B29" s="2223"/>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2120</v>
      </c>
      <c r="B31" s="734">
        <v>42117</v>
      </c>
      <c r="C31" s="735">
        <v>4845000</v>
      </c>
      <c r="D31" s="736">
        <v>3</v>
      </c>
      <c r="E31" s="735">
        <v>4120000</v>
      </c>
      <c r="F31" s="735"/>
      <c r="G31" s="735"/>
      <c r="H31" s="735">
        <v>660000</v>
      </c>
      <c r="I31" s="1778">
        <f>((E31+F31)-H31)+G31</f>
        <v>3460000</v>
      </c>
      <c r="J31" s="735">
        <v>3291423</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4845000</v>
      </c>
      <c r="D49" s="746"/>
      <c r="E49" s="1778">
        <f t="shared" ref="E49:J49" si="2">SUM(E31:E48)</f>
        <v>4120000</v>
      </c>
      <c r="F49" s="1778">
        <f t="shared" si="2"/>
        <v>0</v>
      </c>
      <c r="G49" s="1778">
        <f t="shared" si="2"/>
        <v>0</v>
      </c>
      <c r="H49" s="1778">
        <f t="shared" si="2"/>
        <v>660000</v>
      </c>
      <c r="I49" s="1778">
        <f t="shared" si="2"/>
        <v>3460000</v>
      </c>
      <c r="J49" s="1778">
        <f t="shared" si="2"/>
        <v>3291423</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5" t="s">
        <v>605</v>
      </c>
      <c r="C52" s="2206"/>
      <c r="D52" s="2206"/>
      <c r="E52" s="750" t="s">
        <v>900</v>
      </c>
      <c r="F52" s="2207"/>
      <c r="G52" s="2208"/>
      <c r="H52" s="737"/>
      <c r="I52" s="737"/>
      <c r="J52" s="747"/>
    </row>
    <row r="53" spans="1:11" ht="11.25" customHeight="1" x14ac:dyDescent="0.2">
      <c r="A53" s="751" t="s">
        <v>969</v>
      </c>
      <c r="B53" s="752" t="s">
        <v>1008</v>
      </c>
      <c r="C53" s="747"/>
      <c r="D53" s="738"/>
      <c r="E53" s="750" t="s">
        <v>518</v>
      </c>
      <c r="F53" s="2209"/>
      <c r="G53" s="2210"/>
      <c r="H53" s="737"/>
      <c r="I53" s="737"/>
      <c r="J53" s="747"/>
    </row>
    <row r="54" spans="1:11" ht="11.25" customHeight="1" x14ac:dyDescent="0.2">
      <c r="A54" s="753" t="s">
        <v>970</v>
      </c>
      <c r="B54" s="748" t="s">
        <v>1009</v>
      </c>
      <c r="C54" s="747"/>
      <c r="D54" s="738"/>
      <c r="E54" s="750" t="s">
        <v>519</v>
      </c>
      <c r="F54" s="2209"/>
      <c r="G54" s="221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AI29" sqref="AI2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911</v>
      </c>
      <c r="B1" s="2235"/>
      <c r="C1" s="2235"/>
      <c r="D1" s="2235"/>
      <c r="E1" s="2235"/>
      <c r="F1" s="2235"/>
      <c r="G1" s="2236"/>
      <c r="H1" s="1552"/>
      <c r="I1" s="761"/>
      <c r="J1" s="433"/>
    </row>
    <row r="2" spans="1:11" ht="26.25" x14ac:dyDescent="0.2">
      <c r="A2" s="2253" t="s">
        <v>1776</v>
      </c>
      <c r="B2" s="2254"/>
      <c r="C2" s="2254"/>
      <c r="D2" s="2254"/>
      <c r="E2" s="2255"/>
      <c r="F2" s="762" t="s">
        <v>960</v>
      </c>
      <c r="G2" s="763" t="s">
        <v>1773</v>
      </c>
      <c r="H2" s="763" t="s">
        <v>430</v>
      </c>
      <c r="I2" s="763" t="s">
        <v>1220</v>
      </c>
      <c r="J2" s="763" t="s">
        <v>1916</v>
      </c>
      <c r="K2" s="763" t="s">
        <v>140</v>
      </c>
    </row>
    <row r="3" spans="1:11" x14ac:dyDescent="0.2">
      <c r="A3" s="2256" t="s">
        <v>1698</v>
      </c>
      <c r="B3" s="2257"/>
      <c r="C3" s="2257"/>
      <c r="D3" s="2257"/>
      <c r="E3" s="2258"/>
      <c r="F3" s="764"/>
      <c r="G3" s="765"/>
      <c r="H3" s="765"/>
      <c r="I3" s="765"/>
      <c r="J3" s="766"/>
      <c r="K3" s="766"/>
    </row>
    <row r="4" spans="1:11" x14ac:dyDescent="0.2">
      <c r="A4" s="2259" t="s">
        <v>387</v>
      </c>
      <c r="B4" s="2260"/>
      <c r="C4" s="2260"/>
      <c r="D4" s="2260"/>
      <c r="E4" s="2206"/>
      <c r="F4" s="767"/>
      <c r="G4" s="768"/>
      <c r="H4" s="769"/>
      <c r="I4" s="768"/>
      <c r="J4" s="770"/>
      <c r="K4" s="770"/>
    </row>
    <row r="5" spans="1:11" x14ac:dyDescent="0.2">
      <c r="A5" s="2237" t="s">
        <v>1129</v>
      </c>
      <c r="B5" s="2238"/>
      <c r="C5" s="2238"/>
      <c r="D5" s="2238"/>
      <c r="E5" s="223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7" t="s">
        <v>1917</v>
      </c>
      <c r="B10" s="2238"/>
      <c r="C10" s="2238"/>
      <c r="D10" s="2238"/>
      <c r="E10" s="2240"/>
      <c r="F10" s="784" t="s">
        <v>917</v>
      </c>
      <c r="G10" s="783"/>
      <c r="H10" s="785"/>
      <c r="I10" s="765"/>
      <c r="J10" s="766"/>
      <c r="K10" s="766"/>
    </row>
    <row r="11" spans="1:11" x14ac:dyDescent="0.2">
      <c r="A11" s="2237" t="s">
        <v>162</v>
      </c>
      <c r="B11" s="2238"/>
      <c r="C11" s="2238"/>
      <c r="D11" s="2238"/>
      <c r="E11" s="2239"/>
      <c r="F11" s="771" t="s">
        <v>907</v>
      </c>
      <c r="G11" s="772"/>
      <c r="H11" s="765"/>
      <c r="I11" s="765"/>
      <c r="J11" s="766"/>
      <c r="K11" s="774"/>
    </row>
    <row r="12" spans="1:11" ht="13.5" thickBot="1" x14ac:dyDescent="0.25">
      <c r="A12" s="2264" t="s">
        <v>961</v>
      </c>
      <c r="B12" s="2265"/>
      <c r="C12" s="2265"/>
      <c r="D12" s="2265"/>
      <c r="E12" s="2266"/>
      <c r="F12" s="1779"/>
      <c r="G12" s="1780">
        <f>SUM(G5:G11)</f>
        <v>0</v>
      </c>
      <c r="H12" s="1780">
        <f>SUM(H5:H11)</f>
        <v>0</v>
      </c>
      <c r="I12" s="1780">
        <f>SUM(I5:I11)</f>
        <v>0</v>
      </c>
      <c r="J12" s="1780">
        <f>SUM(J5:J11)</f>
        <v>0</v>
      </c>
      <c r="K12" s="1780">
        <f>SUM(K5:K11)</f>
        <v>0</v>
      </c>
    </row>
    <row r="13" spans="1:11" ht="13.5" thickTop="1" x14ac:dyDescent="0.2">
      <c r="A13" s="2261" t="s">
        <v>388</v>
      </c>
      <c r="B13" s="2262"/>
      <c r="C13" s="2262"/>
      <c r="D13" s="2262"/>
      <c r="E13" s="2263"/>
      <c r="F13" s="786"/>
      <c r="G13" s="787"/>
      <c r="H13" s="788"/>
      <c r="I13" s="789"/>
      <c r="J13" s="789"/>
      <c r="K13" s="789"/>
    </row>
    <row r="14" spans="1:11" x14ac:dyDescent="0.2">
      <c r="A14" s="2244" t="s">
        <v>476</v>
      </c>
      <c r="B14" s="2244"/>
      <c r="C14" s="2244"/>
      <c r="D14" s="2244"/>
      <c r="E14" s="2245"/>
      <c r="F14" s="790" t="s">
        <v>909</v>
      </c>
      <c r="G14" s="783"/>
      <c r="H14" s="765"/>
      <c r="I14" s="772"/>
      <c r="J14" s="774"/>
      <c r="K14" s="766"/>
    </row>
    <row r="15" spans="1:11" x14ac:dyDescent="0.2">
      <c r="A15" s="2238" t="s">
        <v>4</v>
      </c>
      <c r="B15" s="2238"/>
      <c r="C15" s="2238"/>
      <c r="D15" s="2238"/>
      <c r="E15" s="2239"/>
      <c r="F15" s="790" t="s">
        <v>910</v>
      </c>
      <c r="G15" s="772"/>
      <c r="H15" s="765"/>
      <c r="I15" s="765"/>
      <c r="J15" s="766"/>
      <c r="K15" s="766"/>
    </row>
    <row r="16" spans="1:11" x14ac:dyDescent="0.2">
      <c r="A16" s="2238" t="s">
        <v>316</v>
      </c>
      <c r="B16" s="2238"/>
      <c r="C16" s="2238"/>
      <c r="D16" s="2238"/>
      <c r="E16" s="2239"/>
      <c r="F16" s="790" t="s">
        <v>980</v>
      </c>
      <c r="G16" s="773"/>
      <c r="H16" s="768"/>
      <c r="I16" s="768"/>
      <c r="J16" s="770"/>
      <c r="K16" s="770"/>
    </row>
    <row r="17" spans="1:11" x14ac:dyDescent="0.2">
      <c r="A17" s="2269" t="s">
        <v>992</v>
      </c>
      <c r="B17" s="2269"/>
      <c r="C17" s="2269"/>
      <c r="D17" s="2269"/>
      <c r="E17" s="2270"/>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46" t="s">
        <v>1913</v>
      </c>
      <c r="B19" s="2246"/>
      <c r="C19" s="2246"/>
      <c r="D19" s="2246"/>
      <c r="E19" s="2247"/>
      <c r="F19" s="790" t="s">
        <v>990</v>
      </c>
      <c r="G19" s="783"/>
      <c r="H19" s="783"/>
      <c r="I19" s="783"/>
      <c r="J19" s="766"/>
      <c r="K19" s="796"/>
    </row>
    <row r="20" spans="1:11" x14ac:dyDescent="0.2">
      <c r="A20" s="2248" t="s">
        <v>1918</v>
      </c>
      <c r="B20" s="2249"/>
      <c r="C20" s="2249"/>
      <c r="D20" s="2249"/>
      <c r="E20" s="2250"/>
      <c r="F20" s="790" t="s">
        <v>991</v>
      </c>
      <c r="G20" s="783"/>
      <c r="H20" s="783"/>
      <c r="I20" s="783"/>
      <c r="J20" s="766"/>
      <c r="K20" s="796"/>
    </row>
    <row r="21" spans="1:11" ht="13.5" thickBot="1" x14ac:dyDescent="0.25">
      <c r="A21" s="2267" t="s">
        <v>659</v>
      </c>
      <c r="B21" s="2267"/>
      <c r="C21" s="2267"/>
      <c r="D21" s="2267"/>
      <c r="E21" s="2267"/>
      <c r="F21" s="1781"/>
      <c r="G21" s="793"/>
      <c r="H21" s="797"/>
      <c r="I21" s="797"/>
      <c r="J21" s="1782">
        <f>SUM(J18:J20)</f>
        <v>0</v>
      </c>
      <c r="K21" s="794"/>
    </row>
    <row r="22" spans="1:11" ht="13.5" thickTop="1" x14ac:dyDescent="0.2">
      <c r="A22" s="2238" t="s">
        <v>1919</v>
      </c>
      <c r="B22" s="2238"/>
      <c r="C22" s="2238"/>
      <c r="D22" s="2238"/>
      <c r="E22" s="2239"/>
      <c r="F22" s="790" t="s">
        <v>917</v>
      </c>
      <c r="G22" s="783"/>
      <c r="H22" s="765"/>
      <c r="I22" s="765"/>
      <c r="J22" s="798"/>
      <c r="K22" s="766"/>
    </row>
    <row r="23" spans="1:11" ht="13.5" thickBot="1" x14ac:dyDescent="0.25">
      <c r="A23" s="2268" t="s">
        <v>962</v>
      </c>
      <c r="B23" s="2267"/>
      <c r="C23" s="2267"/>
      <c r="D23" s="2267"/>
      <c r="E23" s="2267"/>
      <c r="F23" s="1783"/>
      <c r="G23" s="1780">
        <f>SUM(G14:G16,G21,G22)</f>
        <v>0</v>
      </c>
      <c r="H23" s="1780">
        <f>SUM(H14:H16,H21,H22)</f>
        <v>0</v>
      </c>
      <c r="I23" s="1780">
        <f>SUM(I14:I16,I21,I22)</f>
        <v>0</v>
      </c>
      <c r="J23" s="1780">
        <f>SUM(J14:J16,J21,J22)</f>
        <v>0</v>
      </c>
      <c r="K23" s="1780">
        <f>SUM(K14:K16,K21,K22)</f>
        <v>0</v>
      </c>
    </row>
    <row r="24" spans="1:11" ht="14.25" thickTop="1" thickBot="1" x14ac:dyDescent="0.25">
      <c r="A24" s="2268" t="s">
        <v>2023</v>
      </c>
      <c r="B24" s="2267"/>
      <c r="C24" s="2267"/>
      <c r="D24" s="2267"/>
      <c r="E24" s="2267"/>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2100</v>
      </c>
      <c r="E30" s="809" t="s">
        <v>792</v>
      </c>
      <c r="F30" s="202"/>
      <c r="G30" s="806"/>
    </row>
    <row r="31" spans="1:11" x14ac:dyDescent="0.2">
      <c r="A31" s="810"/>
      <c r="D31" s="237"/>
      <c r="E31" s="811" t="s">
        <v>793</v>
      </c>
      <c r="F31" s="812" t="s">
        <v>560</v>
      </c>
      <c r="G31" s="765"/>
      <c r="H31" s="2241"/>
      <c r="I31" s="2242"/>
      <c r="J31" s="2242"/>
      <c r="K31" s="2242"/>
    </row>
    <row r="32" spans="1:11" x14ac:dyDescent="0.2">
      <c r="A32" s="810"/>
      <c r="B32" s="237"/>
      <c r="C32" s="237"/>
      <c r="D32" s="237"/>
      <c r="E32" s="806"/>
      <c r="F32" s="812" t="s">
        <v>561</v>
      </c>
      <c r="G32" s="765"/>
      <c r="H32" s="2243"/>
      <c r="I32" s="2242"/>
      <c r="J32" s="2242"/>
      <c r="K32" s="2242"/>
    </row>
    <row r="33" spans="1:11" ht="1.5" customHeight="1" x14ac:dyDescent="0.2">
      <c r="A33" s="813" t="s">
        <v>1231</v>
      </c>
      <c r="B33" s="364"/>
      <c r="C33" s="364"/>
      <c r="D33" s="364"/>
      <c r="E33" s="364"/>
      <c r="F33" s="364"/>
      <c r="G33" s="814"/>
      <c r="H33" s="2243"/>
      <c r="I33" s="2242"/>
      <c r="J33" s="2242"/>
      <c r="K33" s="2242"/>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51"/>
      <c r="C41" s="2251"/>
      <c r="D41" s="2251"/>
      <c r="E41" s="2251"/>
      <c r="F41" s="225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73" bottom="0.4" header="0.42"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I29" sqref="AI2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2032</v>
      </c>
      <c r="B1" s="2274"/>
      <c r="C1" s="2275"/>
      <c r="D1" s="827"/>
      <c r="E1" s="828"/>
      <c r="F1" s="828"/>
      <c r="G1" s="829"/>
      <c r="H1" s="830"/>
      <c r="I1" s="831"/>
      <c r="J1" s="2271"/>
      <c r="K1" s="2272"/>
      <c r="L1" s="2272"/>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1260625</v>
      </c>
      <c r="D5" s="842"/>
      <c r="E5" s="842"/>
      <c r="F5" s="1782">
        <f>(C5+D5)-E5</f>
        <v>1260625</v>
      </c>
      <c r="G5" s="838"/>
      <c r="H5" s="843"/>
      <c r="I5" s="843"/>
      <c r="J5" s="843"/>
      <c r="K5" s="794"/>
      <c r="L5" s="1791">
        <f>F5-K5</f>
        <v>1260625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42512715</v>
      </c>
      <c r="D8" s="845">
        <v>680000</v>
      </c>
      <c r="E8" s="845">
        <v>275000</v>
      </c>
      <c r="F8" s="1782">
        <f>(C8+D8)-E8</f>
        <v>42917715</v>
      </c>
      <c r="G8" s="844">
        <v>50</v>
      </c>
      <c r="H8" s="766">
        <v>12298449</v>
      </c>
      <c r="I8" s="766">
        <v>867075</v>
      </c>
      <c r="J8" s="766">
        <v>99750</v>
      </c>
      <c r="K8" s="1791">
        <f>(H8+I8)-J8</f>
        <v>13065774</v>
      </c>
      <c r="L8" s="1791">
        <f>F8-K8</f>
        <v>29851941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2566978</v>
      </c>
      <c r="D10" s="847">
        <f>43441+3787901</f>
        <v>3831342</v>
      </c>
      <c r="E10" s="847">
        <v>4981</v>
      </c>
      <c r="F10" s="1786">
        <f>(C10+D10)-E10</f>
        <v>6393339</v>
      </c>
      <c r="G10" s="844">
        <v>20</v>
      </c>
      <c r="H10" s="848">
        <v>890366</v>
      </c>
      <c r="I10" s="848">
        <v>209657</v>
      </c>
      <c r="J10" s="848">
        <v>4981</v>
      </c>
      <c r="K10" s="1791">
        <f>(H10+I10)-J10</f>
        <v>1095042</v>
      </c>
      <c r="L10" s="1791">
        <f>F10-K10</f>
        <v>5298297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176470</v>
      </c>
      <c r="D12" s="845">
        <f>2727+6855</f>
        <v>9582</v>
      </c>
      <c r="E12" s="845"/>
      <c r="F12" s="1782">
        <f>(C12+D12)-E12</f>
        <v>186052</v>
      </c>
      <c r="G12" s="844">
        <v>10</v>
      </c>
      <c r="H12" s="766">
        <v>55355</v>
      </c>
      <c r="I12" s="766">
        <f>17098+136+685</f>
        <v>17919</v>
      </c>
      <c r="J12" s="766"/>
      <c r="K12" s="1791">
        <f>(H12+I12)-J12</f>
        <v>73274</v>
      </c>
      <c r="L12" s="1791">
        <f>F12-K12</f>
        <v>112778</v>
      </c>
    </row>
    <row r="13" spans="1:14" ht="14.25" thickTop="1" thickBot="1" x14ac:dyDescent="0.25">
      <c r="A13" s="849" t="s">
        <v>1184</v>
      </c>
      <c r="B13" s="841">
        <v>252</v>
      </c>
      <c r="C13" s="845">
        <v>2928792</v>
      </c>
      <c r="D13" s="845">
        <f>120014-9582</f>
        <v>110432</v>
      </c>
      <c r="E13" s="845">
        <v>35884</v>
      </c>
      <c r="F13" s="1782">
        <f>(C13+D13)-E13</f>
        <v>3003340</v>
      </c>
      <c r="G13" s="844">
        <v>5</v>
      </c>
      <c r="H13" s="766">
        <v>2698335</v>
      </c>
      <c r="I13" s="766">
        <f>124402-I12</f>
        <v>106483</v>
      </c>
      <c r="J13" s="766">
        <v>35884</v>
      </c>
      <c r="K13" s="1791">
        <f>(H13+I13)-J13</f>
        <v>2768934</v>
      </c>
      <c r="L13" s="1791">
        <f>F13-K13</f>
        <v>234406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1297075</v>
      </c>
      <c r="D15" s="845">
        <v>3170825</v>
      </c>
      <c r="E15" s="845">
        <v>4467900</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50742655</v>
      </c>
      <c r="D16" s="1782">
        <f>SUM(D3,D5:D6,D8:D10,D12:D15)</f>
        <v>7802181</v>
      </c>
      <c r="E16" s="1782">
        <f>SUM(E3,E5:E6,E8:E10,E12:E15)</f>
        <v>4783765</v>
      </c>
      <c r="F16" s="1782">
        <f>SUM(F3,F5:F6,F8:F10,F12:F15)</f>
        <v>53761071</v>
      </c>
      <c r="G16" s="844"/>
      <c r="H16" s="1782">
        <f>SUM(H3,H6,H8:H10,H12:H14,)</f>
        <v>15942505</v>
      </c>
      <c r="I16" s="1782">
        <f>SUM(I3,I6,I8:I10,I12:I14,)</f>
        <v>1201134</v>
      </c>
      <c r="J16" s="1782">
        <f>SUM(J3,J6,J8:J10,J12:J14,)</f>
        <v>140615</v>
      </c>
      <c r="K16" s="1782">
        <f>(H16+I16)-J16</f>
        <v>17003024</v>
      </c>
      <c r="L16" s="1782">
        <f>F16-K16</f>
        <v>36758047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185186</v>
      </c>
      <c r="G17" s="838">
        <v>10</v>
      </c>
      <c r="H17" s="770"/>
      <c r="I17" s="1791">
        <f>F17/G17</f>
        <v>18518.599999999999</v>
      </c>
      <c r="J17" s="770"/>
      <c r="K17" s="796"/>
      <c r="L17" s="796"/>
    </row>
    <row r="18" spans="1:12" ht="14.25" thickTop="1" thickBot="1" x14ac:dyDescent="0.25">
      <c r="A18" s="1789" t="s">
        <v>706</v>
      </c>
      <c r="B18" s="1790"/>
      <c r="C18" s="772"/>
      <c r="D18" s="772"/>
      <c r="E18" s="772"/>
      <c r="F18" s="851"/>
      <c r="G18" s="852"/>
      <c r="H18" s="774"/>
      <c r="I18" s="1782">
        <f>SUM(I16,I17)</f>
        <v>1219652.6000000001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I29" sqref="AI29"/>
      <selection pane="bottomLeft" activeCell="AI29" sqref="AI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56208909</v>
      </c>
      <c r="G8" s="866"/>
    </row>
    <row r="9" spans="1:7" x14ac:dyDescent="0.2">
      <c r="A9" s="870" t="s">
        <v>480</v>
      </c>
      <c r="B9" s="871" t="s">
        <v>1986</v>
      </c>
      <c r="C9" s="872"/>
      <c r="D9" s="870" t="s">
        <v>522</v>
      </c>
      <c r="E9" s="869"/>
      <c r="F9" s="1935">
        <f>'Expenditures 15-22'!K151</f>
        <v>5529979</v>
      </c>
      <c r="G9" s="873"/>
    </row>
    <row r="10" spans="1:7" x14ac:dyDescent="0.2">
      <c r="A10" s="870" t="s">
        <v>520</v>
      </c>
      <c r="B10" s="871" t="s">
        <v>1987</v>
      </c>
      <c r="C10" s="872"/>
      <c r="D10" s="870" t="s">
        <v>522</v>
      </c>
      <c r="E10" s="869"/>
      <c r="F10" s="1935">
        <f>'Expenditures 15-22'!K174</f>
        <v>824850</v>
      </c>
      <c r="G10" s="873"/>
    </row>
    <row r="11" spans="1:7" x14ac:dyDescent="0.2">
      <c r="A11" s="870" t="s">
        <v>481</v>
      </c>
      <c r="B11" s="871" t="s">
        <v>1988</v>
      </c>
      <c r="C11" s="872"/>
      <c r="D11" s="870" t="s">
        <v>522</v>
      </c>
      <c r="E11" s="869"/>
      <c r="F11" s="1935">
        <f>'Expenditures 15-22'!K210</f>
        <v>1258214</v>
      </c>
      <c r="G11" s="873"/>
    </row>
    <row r="12" spans="1:7" x14ac:dyDescent="0.2">
      <c r="A12" s="870" t="s">
        <v>482</v>
      </c>
      <c r="B12" s="871" t="s">
        <v>1989</v>
      </c>
      <c r="C12" s="872"/>
      <c r="D12" s="870" t="s">
        <v>522</v>
      </c>
      <c r="E12" s="869"/>
      <c r="F12" s="1935">
        <f>'Expenditures 15-22'!K295</f>
        <v>1667790</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65489742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1098690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548225</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1072111</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11355967</v>
      </c>
      <c r="G53" s="866"/>
    </row>
    <row r="54" spans="1:7" x14ac:dyDescent="0.2">
      <c r="A54" s="870" t="s">
        <v>479</v>
      </c>
      <c r="B54" s="870" t="s">
        <v>1552</v>
      </c>
      <c r="C54" s="890" t="s">
        <v>1039</v>
      </c>
      <c r="D54" s="886" t="s">
        <v>1157</v>
      </c>
      <c r="E54" s="869"/>
      <c r="F54" s="1939">
        <f>'Expenditures 15-22'!G114</f>
        <v>122760</v>
      </c>
      <c r="G54" s="866"/>
    </row>
    <row r="55" spans="1:7" x14ac:dyDescent="0.2">
      <c r="A55" s="870" t="s">
        <v>479</v>
      </c>
      <c r="B55" s="870" t="s">
        <v>1553</v>
      </c>
      <c r="C55" s="890" t="s">
        <v>1039</v>
      </c>
      <c r="D55" s="886" t="s">
        <v>309</v>
      </c>
      <c r="E55" s="869"/>
      <c r="F55" s="1939">
        <f>'Expenditures 15-22'!I114</f>
        <v>166959</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3171918</v>
      </c>
      <c r="G58" s="866"/>
    </row>
    <row r="59" spans="1:7" x14ac:dyDescent="0.2">
      <c r="A59" s="894" t="s">
        <v>480</v>
      </c>
      <c r="B59" s="857" t="s">
        <v>1993</v>
      </c>
      <c r="C59" s="895" t="s">
        <v>1039</v>
      </c>
      <c r="D59" s="857" t="s">
        <v>309</v>
      </c>
      <c r="F59" s="1942">
        <f>'Expenditures 15-22'!I151</f>
        <v>18227</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660000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36801</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19063</v>
      </c>
      <c r="G71" s="866"/>
    </row>
    <row r="72" spans="1:8" x14ac:dyDescent="0.2">
      <c r="A72" s="870" t="s">
        <v>482</v>
      </c>
      <c r="B72" s="870" t="s">
        <v>2005</v>
      </c>
      <c r="C72" s="887">
        <f>'Expenditures 15-22'!B280</f>
        <v>3000</v>
      </c>
      <c r="D72" s="877" t="s">
        <v>469</v>
      </c>
      <c r="E72" s="869"/>
      <c r="F72" s="1939">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18270721</v>
      </c>
      <c r="G76" s="866"/>
    </row>
    <row r="77" spans="1:8" s="894" customFormat="1" ht="12" customHeight="1" thickTop="1" thickBot="1" x14ac:dyDescent="0.25">
      <c r="A77" s="1801"/>
      <c r="B77" s="1798"/>
      <c r="C77" s="1794"/>
      <c r="D77" s="1799" t="s">
        <v>2009</v>
      </c>
      <c r="E77" s="1796"/>
      <c r="F77" s="1802">
        <f>(F14-F76)</f>
        <v>47219021</v>
      </c>
      <c r="G77" s="870"/>
    </row>
    <row r="78" spans="1:8" s="894" customFormat="1" ht="12" customHeight="1" thickTop="1" x14ac:dyDescent="0.2">
      <c r="A78" s="1803"/>
      <c r="B78" s="1798"/>
      <c r="C78" s="1794"/>
      <c r="D78" s="1799" t="s">
        <v>2056</v>
      </c>
      <c r="E78" s="1796"/>
      <c r="F78" s="899">
        <v>0</v>
      </c>
      <c r="G78" s="900"/>
      <c r="H78" s="870"/>
    </row>
    <row r="79" spans="1:8" s="894" customFormat="1" ht="12" customHeight="1" thickBot="1" x14ac:dyDescent="0.25">
      <c r="A79" s="1804"/>
      <c r="B79" s="1798"/>
      <c r="C79" s="1794"/>
      <c r="D79" s="1799" t="s">
        <v>2010</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20877</v>
      </c>
      <c r="G94" s="913"/>
    </row>
    <row r="95" spans="1:7" x14ac:dyDescent="0.2">
      <c r="A95" s="909" t="s">
        <v>142</v>
      </c>
      <c r="B95" s="909" t="s">
        <v>177</v>
      </c>
      <c r="C95" s="911">
        <v>1700</v>
      </c>
      <c r="D95" s="919" t="str">
        <f>'Revenues 9-14'!A82</f>
        <v>Total District/School Activity Income</v>
      </c>
      <c r="E95" s="907"/>
      <c r="F95" s="1811">
        <f>SUM('Revenues 9-14'!C82,'Revenues 9-14'!D82)</f>
        <v>1100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3122669</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4961148</v>
      </c>
      <c r="G103" s="913"/>
    </row>
    <row r="104" spans="1:7" x14ac:dyDescent="0.2">
      <c r="A104" s="909" t="s">
        <v>479</v>
      </c>
      <c r="B104" s="909" t="s">
        <v>841</v>
      </c>
      <c r="C104" s="911">
        <f>'Revenues 9-14'!B106</f>
        <v>1993</v>
      </c>
      <c r="D104" s="912" t="str">
        <f>'Revenues 9-14'!A106</f>
        <v>Other Local Fees (Describe &amp; Itemize)</v>
      </c>
      <c r="E104" s="907"/>
      <c r="F104" s="1811">
        <f>('Revenues 9-14'!C106)</f>
        <v>2011422</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3241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773788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339557</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207874</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6360444</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265945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15539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18083604</v>
      </c>
    </row>
    <row r="179" spans="1:7" ht="12" customHeight="1" x14ac:dyDescent="0.2">
      <c r="A179" s="1792"/>
      <c r="B179" s="1806"/>
      <c r="C179" s="1807"/>
      <c r="D179" s="1808" t="s">
        <v>2012</v>
      </c>
      <c r="E179" s="1809"/>
      <c r="F179" s="1811">
        <f>'PCTC-OEPP 27-28'!F77-F178</f>
        <v>29135417</v>
      </c>
    </row>
    <row r="180" spans="1:7" ht="12" customHeight="1" x14ac:dyDescent="0.2">
      <c r="A180" s="1792"/>
      <c r="B180" s="1806"/>
      <c r="C180" s="1807"/>
      <c r="D180" s="1808" t="s">
        <v>1921</v>
      </c>
      <c r="E180" s="1809"/>
      <c r="F180" s="1811">
        <f>'Cap Outlay Deprec 26'!I18</f>
        <v>1219652.6000000001</v>
      </c>
    </row>
    <row r="181" spans="1:7" ht="12" customHeight="1" x14ac:dyDescent="0.2">
      <c r="A181" s="1792"/>
      <c r="B181" s="1806"/>
      <c r="C181" s="1807"/>
      <c r="D181" s="1808" t="s">
        <v>2013</v>
      </c>
      <c r="E181" s="1809"/>
      <c r="F181" s="1811">
        <f>F179+F180</f>
        <v>30355069.600000001</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2014</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9" activePane="bottomLeft" state="frozen"/>
      <selection activeCell="AI29" sqref="AI29"/>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1922</v>
      </c>
      <c r="B4" s="2291"/>
      <c r="C4" s="2291"/>
      <c r="D4" s="2291"/>
      <c r="E4" s="2291"/>
      <c r="F4" s="2291"/>
      <c r="G4" s="2292"/>
    </row>
    <row r="5" spans="1:7" x14ac:dyDescent="0.25">
      <c r="A5" s="2293"/>
      <c r="B5" s="2294"/>
      <c r="C5" s="2294"/>
      <c r="D5" s="2294"/>
      <c r="E5" s="2294"/>
      <c r="F5" s="2294"/>
      <c r="G5" s="2295"/>
    </row>
    <row r="6" spans="1:7" ht="18.75" x14ac:dyDescent="0.25">
      <c r="A6" s="1556" t="s">
        <v>1923</v>
      </c>
      <c r="B6" s="1557"/>
      <c r="C6" s="1557"/>
      <c r="D6" s="1557"/>
      <c r="E6" s="1557"/>
      <c r="F6" s="1557"/>
      <c r="G6" s="1558"/>
    </row>
    <row r="7" spans="1:7" ht="30.75" customHeight="1" x14ac:dyDescent="0.25">
      <c r="A7" s="2296" t="s">
        <v>2072</v>
      </c>
      <c r="B7" s="2297"/>
      <c r="C7" s="2297"/>
      <c r="D7" s="2297"/>
      <c r="E7" s="2297"/>
      <c r="F7" s="2297"/>
      <c r="G7" s="2298"/>
    </row>
    <row r="8" spans="1:7" ht="15.75" customHeight="1" x14ac:dyDescent="0.25">
      <c r="A8" s="2299" t="s">
        <v>2021</v>
      </c>
      <c r="B8" s="2300"/>
      <c r="C8" s="2300"/>
      <c r="D8" s="2300"/>
      <c r="E8" s="2300"/>
      <c r="F8" s="2300"/>
      <c r="G8" s="2301"/>
    </row>
    <row r="9" spans="1:7" ht="35.25" customHeight="1" x14ac:dyDescent="0.25">
      <c r="A9" s="2296" t="s">
        <v>2020</v>
      </c>
      <c r="B9" s="2297"/>
      <c r="C9" s="2297"/>
      <c r="D9" s="2297"/>
      <c r="E9" s="2297"/>
      <c r="F9" s="2297"/>
      <c r="G9" s="2298"/>
    </row>
    <row r="10" spans="1:7" ht="15" customHeight="1" x14ac:dyDescent="0.25">
      <c r="A10" s="1559" t="s">
        <v>1924</v>
      </c>
      <c r="B10" s="1560"/>
      <c r="C10" s="1560"/>
      <c r="D10" s="1560"/>
      <c r="E10" s="1560"/>
      <c r="F10" s="1560"/>
      <c r="G10" s="1561"/>
    </row>
    <row r="11" spans="1:7" ht="17.25" customHeight="1" x14ac:dyDescent="0.25">
      <c r="A11" s="2296" t="s">
        <v>1938</v>
      </c>
      <c r="B11" s="2297"/>
      <c r="C11" s="2297"/>
      <c r="D11" s="2297"/>
      <c r="E11" s="2297"/>
      <c r="F11" s="2297"/>
      <c r="G11" s="2298"/>
    </row>
    <row r="12" spans="1:7" ht="15" customHeight="1" x14ac:dyDescent="0.25">
      <c r="A12" s="1559" t="s">
        <v>1929</v>
      </c>
      <c r="B12" s="1560"/>
      <c r="C12" s="1560"/>
      <c r="D12" s="1560"/>
      <c r="E12" s="1560"/>
      <c r="F12" s="1560"/>
      <c r="G12" s="1561"/>
    </row>
    <row r="13" spans="1:7" ht="32.25" customHeight="1" x14ac:dyDescent="0.25">
      <c r="A13" s="2287" t="s">
        <v>1930</v>
      </c>
      <c r="B13" s="2288"/>
      <c r="C13" s="2288"/>
      <c r="D13" s="2288"/>
      <c r="E13" s="2288"/>
      <c r="F13" s="2288"/>
      <c r="G13" s="2289"/>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I29" sqref="AI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v>384396</v>
      </c>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215372</v>
      </c>
      <c r="F10" s="975"/>
      <c r="G10" s="976"/>
      <c r="H10" s="162"/>
      <c r="I10" s="162"/>
    </row>
    <row r="11" spans="1:9" s="669" customFormat="1" ht="22.5" customHeight="1" x14ac:dyDescent="0.2">
      <c r="A11" s="2307" t="s">
        <v>1942</v>
      </c>
      <c r="B11" s="2308"/>
      <c r="C11" s="2308"/>
      <c r="D11" s="2309"/>
      <c r="E11" s="978">
        <v>13747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v>72539</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26274691</v>
      </c>
      <c r="F19" s="1822"/>
      <c r="G19" s="1824">
        <f>'Expenditures 15-22'!K33-SUM('Expenditures 15-22'!G33,'Expenditures 15-22'!I33)+'Expenditures 15-22'!D229</f>
        <v>26274691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12837036</v>
      </c>
      <c r="F21" s="1825"/>
      <c r="G21" s="1828">
        <f>'Expenditures 15-22'!K42-SUM('Expenditures 15-22'!G42,'Expenditures 15-22'!I42)+'Expenditures 15-22'!K120-SUM('Expenditures 15-22'!G120,'Expenditures 15-22'!I120)+'Expenditures 15-22'!K180-SUM('Expenditures 15-22'!G180,'Expenditures 15-22'!I180)+'Expenditures 15-22'!D238</f>
        <v>12837036</v>
      </c>
      <c r="H21" s="988"/>
      <c r="I21" s="162"/>
    </row>
    <row r="22" spans="1:9" s="669" customFormat="1" ht="12" customHeight="1" x14ac:dyDescent="0.2">
      <c r="A22" s="995" t="s">
        <v>585</v>
      </c>
      <c r="B22" s="996"/>
      <c r="C22" s="994">
        <v>2200</v>
      </c>
      <c r="D22" s="1825"/>
      <c r="E22" s="1827">
        <f>'Expenditures 15-22'!K47-SUM('Expenditures 15-22'!G47,'Expenditures 15-22'!I47)+'Expenditures 15-22'!D243</f>
        <v>1292186</v>
      </c>
      <c r="F22" s="1825"/>
      <c r="G22" s="1828">
        <f>'Expenditures 15-22'!K47-SUM('Expenditures 15-22'!G47,'Expenditures 15-22'!I47)+'Expenditures 15-22'!D243</f>
        <v>1292186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1900264</v>
      </c>
      <c r="F23" s="1825"/>
      <c r="G23" s="1827">
        <f>'Expenditures 15-22'!K53-SUM('Expenditures 15-22'!G53,'Expenditures 15-22'!I53)+'Expenditures 15-22'!D257+'Expenditures 15-22'!K330-SUM('Expenditures 15-22'!G330,'Expenditures 15-22'!I330)</f>
        <v>1900264</v>
      </c>
      <c r="H23" s="988"/>
      <c r="I23" s="162"/>
    </row>
    <row r="24" spans="1:9" s="669" customFormat="1" ht="12" customHeight="1" x14ac:dyDescent="0.2">
      <c r="A24" s="995" t="s">
        <v>587</v>
      </c>
      <c r="B24" s="996"/>
      <c r="C24" s="994">
        <v>2400</v>
      </c>
      <c r="D24" s="1825"/>
      <c r="E24" s="1827">
        <f>'Expenditures 15-22'!K57-SUM('Expenditures 15-22'!G57,'Expenditures 15-22'!I57)+'Expenditures 15-22'!D261</f>
        <v>2766136</v>
      </c>
      <c r="F24" s="1825"/>
      <c r="G24" s="1828">
        <f>'Expenditures 15-22'!K57-SUM('Expenditures 15-22'!G57,'Expenditures 15-22'!I57)+'Expenditures 15-22'!D261</f>
        <v>2766136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245404</v>
      </c>
      <c r="E26" s="1827">
        <f>'Expenditures 15-22'!K122-SUM('Expenditures 15-22'!G122,'Expenditures 15-22'!I122)+E7</f>
        <v>0</v>
      </c>
      <c r="F26" s="1827">
        <f>'Expenditures 15-22'!K59-SUM('Expenditures 15-22'!G59,'Expenditures 15-22'!I59)+'Expenditures 15-22'!D263-E7</f>
        <v>245404</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66536</v>
      </c>
      <c r="E27" s="1827">
        <f>E8</f>
        <v>384396</v>
      </c>
      <c r="F27" s="1827">
        <f>'Expenditures 15-22'!K60-SUM('Expenditures 15-22'!G60,'Expenditures 15-22'!I60)+'Expenditures 15-22'!D264-E8</f>
        <v>66536</v>
      </c>
      <c r="G27" s="1828">
        <f>E8</f>
        <v>384396</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2445156</v>
      </c>
      <c r="F28" s="1829">
        <f>'Expenditures 15-22'!K61-SUM('Expenditures 15-22'!G61,'Expenditures 15-22'!I61)+'Expenditures 15-22'!K124-SUM('Expenditures 15-22'!G124,'Expenditures 15-22'!I124)+'Expenditures 15-22'!D266-E9</f>
        <v>2445156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1267254</v>
      </c>
      <c r="F29" s="1825"/>
      <c r="G29" s="1828">
        <f>'Expenditures 15-22'!K62-SUM('Expenditures 15-22'!G62,'Expenditures 15-22'!I62)+'Expenditures 15-22'!K125-SUM('Expenditures 15-22'!G125,'Expenditures 15-22'!I125)+'Expenditures 15-22'!K182-SUM('Expenditures 15-22'!G182,'Expenditures 15-22'!I182)+'Expenditures 15-22'!D267</f>
        <v>1267254</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62091</v>
      </c>
      <c r="E37" s="1827">
        <f>E14</f>
        <v>72539</v>
      </c>
      <c r="F37" s="1827">
        <f>'Expenditures 15-22'!K71-SUM('Expenditures 15-22'!G71,'Expenditures 15-22'!I71)+'Expenditures 15-22'!D276-E14</f>
        <v>62091</v>
      </c>
      <c r="G37" s="1827">
        <f>E14</f>
        <v>72539</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374031</v>
      </c>
      <c r="E41" s="1829">
        <f>SUM(E19:E40)</f>
        <v>49239658</v>
      </c>
      <c r="F41" s="1829">
        <f>SUM(F19:F39)</f>
        <v>2819187</v>
      </c>
      <c r="G41" s="1829">
        <f>SUM(G19:G40)</f>
        <v>46794502</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374031</v>
      </c>
      <c r="F43" s="1830" t="s">
        <v>495</v>
      </c>
      <c r="G43" s="1831">
        <f>F41</f>
        <v>2819187</v>
      </c>
    </row>
    <row r="44" spans="1:7" ht="12" customHeight="1" x14ac:dyDescent="0.2">
      <c r="A44" s="988"/>
      <c r="B44" s="162"/>
      <c r="C44" s="1002"/>
      <c r="D44" s="1830" t="s">
        <v>494</v>
      </c>
      <c r="E44" s="1831">
        <f>E41</f>
        <v>49239658</v>
      </c>
      <c r="F44" s="1830" t="s">
        <v>494</v>
      </c>
      <c r="G44" s="1831">
        <f>G41</f>
        <v>46794502</v>
      </c>
    </row>
    <row r="45" spans="1:7" ht="12" customHeight="1" x14ac:dyDescent="0.2">
      <c r="A45" s="988"/>
      <c r="B45" s="162"/>
      <c r="C45" s="162"/>
      <c r="D45" s="1832" t="s">
        <v>1063</v>
      </c>
      <c r="E45" s="1833">
        <f>(E43/E44)</f>
        <v>7.5961331819160887E-3</v>
      </c>
      <c r="F45" s="1832" t="s">
        <v>1063</v>
      </c>
      <c r="G45" s="1833">
        <f>(G43/G44)</f>
        <v>6.0246116092869201E-2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I29" sqref="AI29"/>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4" t="s">
        <v>1446</v>
      </c>
      <c r="B1" s="2324"/>
      <c r="C1" s="2324"/>
      <c r="D1" s="2324"/>
      <c r="E1" s="2324"/>
      <c r="F1" s="2324"/>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5" t="s">
        <v>1627</v>
      </c>
      <c r="B5" s="2326"/>
      <c r="C5" s="2327"/>
      <c r="D5" s="2327"/>
      <c r="E5" s="2327"/>
      <c r="F5" s="2327"/>
    </row>
    <row r="6" spans="1:10" ht="12" customHeight="1" x14ac:dyDescent="0.25">
      <c r="A6" s="1875"/>
      <c r="B6" s="1876"/>
      <c r="C6" s="2328" t="str">
        <f>COVER!A17</f>
        <v>SpEd Dist Lake Cty (SEDOL)</v>
      </c>
      <c r="D6" s="2328"/>
      <c r="E6" s="2328"/>
      <c r="F6" s="1877"/>
    </row>
    <row r="7" spans="1:10" ht="11.25" customHeight="1" thickBot="1" x14ac:dyDescent="0.3">
      <c r="A7" s="1875"/>
      <c r="B7" s="1876"/>
      <c r="C7" s="2329">
        <f>COVER!A13</f>
        <v>34049825060</v>
      </c>
      <c r="D7" s="2329"/>
      <c r="E7" s="2329"/>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2117</v>
      </c>
      <c r="D13" s="1890" t="s">
        <v>2117</v>
      </c>
      <c r="E13" s="1893"/>
      <c r="F13" s="1892" t="s">
        <v>2121</v>
      </c>
      <c r="H13" s="1903">
        <f t="shared" si="0"/>
        <v>5</v>
      </c>
      <c r="I13" s="1903">
        <f t="shared" si="1"/>
        <v>5</v>
      </c>
      <c r="J13" s="1903">
        <f t="shared" si="2"/>
        <v>0</v>
      </c>
    </row>
    <row r="14" spans="1:10" ht="12" customHeight="1" x14ac:dyDescent="0.2">
      <c r="A14" s="1888" t="s">
        <v>1453</v>
      </c>
      <c r="B14" s="1889"/>
      <c r="C14" s="1890" t="s">
        <v>2117</v>
      </c>
      <c r="D14" s="1890" t="s">
        <v>2117</v>
      </c>
      <c r="E14" s="1893"/>
      <c r="F14" s="1892" t="s">
        <v>2122</v>
      </c>
      <c r="H14" s="1903">
        <f t="shared" si="0"/>
        <v>5</v>
      </c>
      <c r="I14" s="1903">
        <f t="shared" si="1"/>
        <v>5</v>
      </c>
      <c r="J14" s="1903">
        <f t="shared" si="2"/>
        <v>0</v>
      </c>
    </row>
    <row r="15" spans="1:10" ht="12" customHeight="1" x14ac:dyDescent="0.2">
      <c r="A15" s="1888" t="s">
        <v>1454</v>
      </c>
      <c r="B15" s="1889"/>
      <c r="C15" s="1890" t="s">
        <v>2117</v>
      </c>
      <c r="D15" s="1890" t="s">
        <v>2117</v>
      </c>
      <c r="E15" s="1893"/>
      <c r="F15" s="1892" t="s">
        <v>2123</v>
      </c>
      <c r="H15" s="1903">
        <f t="shared" si="0"/>
        <v>5</v>
      </c>
      <c r="I15" s="1903">
        <f t="shared" si="1"/>
        <v>5</v>
      </c>
      <c r="J15" s="1903">
        <f t="shared" si="2"/>
        <v>0</v>
      </c>
    </row>
    <row r="16" spans="1:10" ht="12" customHeight="1" x14ac:dyDescent="0.2">
      <c r="A16" s="1888" t="s">
        <v>1455</v>
      </c>
      <c r="B16" s="1889"/>
      <c r="C16" s="1890" t="s">
        <v>2117</v>
      </c>
      <c r="D16" s="1890" t="s">
        <v>2117</v>
      </c>
      <c r="E16" s="1893"/>
      <c r="F16" s="1892" t="s">
        <v>2124</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t="s">
        <v>2117</v>
      </c>
      <c r="D18" s="1890" t="s">
        <v>2117</v>
      </c>
      <c r="E18" s="1893"/>
      <c r="F18" s="1892" t="s">
        <v>2125</v>
      </c>
      <c r="H18" s="1903">
        <f t="shared" si="0"/>
        <v>5</v>
      </c>
      <c r="I18" s="1903">
        <f t="shared" si="1"/>
        <v>5</v>
      </c>
      <c r="J18" s="1903">
        <f t="shared" si="2"/>
        <v>0</v>
      </c>
    </row>
    <row r="19" spans="1:12" ht="12" customHeight="1" x14ac:dyDescent="0.2">
      <c r="A19" s="1888" t="s">
        <v>1608</v>
      </c>
      <c r="B19" s="1889"/>
      <c r="C19" s="1890" t="s">
        <v>2117</v>
      </c>
      <c r="D19" s="1890" t="s">
        <v>2117</v>
      </c>
      <c r="E19" s="1893"/>
      <c r="F19" s="1892" t="s">
        <v>2126</v>
      </c>
      <c r="H19" s="1903">
        <f t="shared" si="0"/>
        <v>5</v>
      </c>
      <c r="I19" s="1903">
        <f t="shared" si="1"/>
        <v>5</v>
      </c>
      <c r="J19" s="1903">
        <f t="shared" si="2"/>
        <v>0</v>
      </c>
    </row>
    <row r="20" spans="1:12" ht="12" customHeight="1" x14ac:dyDescent="0.2">
      <c r="A20" s="1888" t="s">
        <v>1609</v>
      </c>
      <c r="B20" s="1889"/>
      <c r="C20" s="1890" t="s">
        <v>2117</v>
      </c>
      <c r="D20" s="1890" t="s">
        <v>2117</v>
      </c>
      <c r="E20" s="1893"/>
      <c r="F20" s="1892" t="s">
        <v>2127</v>
      </c>
      <c r="H20" s="1903">
        <f t="shared" si="0"/>
        <v>5</v>
      </c>
      <c r="I20" s="1903">
        <f t="shared" si="1"/>
        <v>5</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2117</v>
      </c>
      <c r="D26" s="1890" t="s">
        <v>2117</v>
      </c>
      <c r="E26" s="1893"/>
      <c r="F26" s="1892" t="s">
        <v>2128</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2117</v>
      </c>
      <c r="D30" s="1890" t="s">
        <v>2117</v>
      </c>
      <c r="E30" s="1893"/>
      <c r="F30" s="1892" t="s">
        <v>2129</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45</v>
      </c>
      <c r="I34" s="1903">
        <f>SUM(I11:I32)</f>
        <v>45</v>
      </c>
      <c r="J34" s="1903">
        <f>SUM(J11:J32)</f>
        <v>0</v>
      </c>
      <c r="K34" s="1903">
        <f>SUM(H34:J34)</f>
        <v>90</v>
      </c>
    </row>
    <row r="35" spans="1:11" ht="12" customHeight="1" x14ac:dyDescent="0.2">
      <c r="A35" s="1896" t="s">
        <v>1459</v>
      </c>
      <c r="B35" s="1897"/>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8"/>
      <c r="B39" s="1898"/>
      <c r="C39" s="1898"/>
      <c r="D39" s="1898"/>
      <c r="E39" s="1898"/>
      <c r="F39" s="1898"/>
    </row>
    <row r="40" spans="1:11" s="1895" customFormat="1" ht="12" customHeight="1" x14ac:dyDescent="0.25">
      <c r="A40" s="1899" t="s">
        <v>1458</v>
      </c>
      <c r="B40" s="1900"/>
      <c r="C40" s="2319"/>
      <c r="D40" s="2319"/>
      <c r="E40" s="2319"/>
      <c r="F40" s="2320"/>
      <c r="H40" s="1904"/>
      <c r="I40" s="1904"/>
      <c r="J40" s="1904"/>
      <c r="K40" s="1904"/>
    </row>
    <row r="41" spans="1:11" s="1895" customFormat="1" ht="12" customHeight="1" x14ac:dyDescent="0.25">
      <c r="A41" s="2321"/>
      <c r="B41" s="2322"/>
      <c r="C41" s="2322"/>
      <c r="D41" s="2322"/>
      <c r="E41" s="2322"/>
      <c r="F41" s="2323"/>
      <c r="H41" s="1904"/>
      <c r="I41" s="1904"/>
      <c r="J41" s="1904"/>
      <c r="K41" s="1904"/>
    </row>
    <row r="42" spans="1:11" s="1895" customFormat="1" ht="12" customHeight="1" x14ac:dyDescent="0.25">
      <c r="A42" s="2321"/>
      <c r="B42" s="2322"/>
      <c r="C42" s="2322"/>
      <c r="D42" s="2322"/>
      <c r="E42" s="2322"/>
      <c r="F42" s="2323"/>
      <c r="H42" s="1904"/>
      <c r="I42" s="1904"/>
      <c r="J42" s="1904"/>
      <c r="K42" s="1904"/>
    </row>
    <row r="43" spans="1:11" s="1895" customFormat="1" ht="15" x14ac:dyDescent="0.25">
      <c r="A43" s="2310"/>
      <c r="B43" s="2311"/>
      <c r="C43" s="2311"/>
      <c r="D43" s="2311"/>
      <c r="E43" s="2311"/>
      <c r="F43" s="2312"/>
      <c r="H43" s="1904"/>
      <c r="I43" s="1904"/>
      <c r="J43" s="1904"/>
      <c r="K43" s="1904"/>
    </row>
    <row r="44" spans="1:11" s="1895" customFormat="1" ht="12" hidden="1" customHeight="1" x14ac:dyDescent="0.25">
      <c r="A44" s="2310"/>
      <c r="B44" s="2311"/>
      <c r="C44" s="2311"/>
      <c r="D44" s="2311"/>
      <c r="E44" s="2311"/>
      <c r="F44" s="231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I29" sqref="AI2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SpEd Dist Lake Cty (SEDOL)</v>
      </c>
      <c r="J6" s="2338"/>
      <c r="Q6" s="1686"/>
    </row>
    <row r="7" spans="1:17" x14ac:dyDescent="0.2">
      <c r="A7" s="2339" t="s">
        <v>924</v>
      </c>
      <c r="B7" s="2340"/>
      <c r="C7" s="2340"/>
      <c r="D7" s="2340"/>
      <c r="E7" s="2341"/>
      <c r="F7" s="1018"/>
      <c r="G7" s="1010"/>
      <c r="H7" s="1017" t="s">
        <v>390</v>
      </c>
      <c r="I7" s="2342">
        <f>COVER!A13</f>
        <v>34049825060</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1123952</v>
      </c>
      <c r="F12" s="1040"/>
      <c r="G12" s="1834">
        <f t="shared" ref="G12:G18" si="0">SUM(E12:F12)</f>
        <v>1123952</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66413</v>
      </c>
      <c r="F14" s="1040"/>
      <c r="G14" s="1834">
        <f t="shared" si="0"/>
        <v>66413</v>
      </c>
      <c r="H14" s="1041"/>
      <c r="I14" s="1040"/>
      <c r="J14" s="1834">
        <f t="shared" si="1"/>
        <v>0</v>
      </c>
    </row>
    <row r="15" spans="1:17" ht="15" customHeight="1" x14ac:dyDescent="0.2">
      <c r="A15" s="1036">
        <v>4</v>
      </c>
      <c r="B15" s="1037" t="s">
        <v>1128</v>
      </c>
      <c r="C15" s="1038"/>
      <c r="D15" s="1039">
        <v>2510</v>
      </c>
      <c r="E15" s="1834">
        <f>'Expenditures 15-22'!K59</f>
        <v>245404</v>
      </c>
      <c r="F15" s="1834">
        <f>'Expenditures 15-22'!K122</f>
        <v>0</v>
      </c>
      <c r="G15" s="1834">
        <f t="shared" si="0"/>
        <v>245404</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1435769</v>
      </c>
      <c r="F19" s="1836">
        <f t="shared" si="2"/>
        <v>0</v>
      </c>
      <c r="G19" s="1836">
        <f t="shared" si="2"/>
        <v>1435769</v>
      </c>
      <c r="H19" s="1836">
        <f t="shared" si="2"/>
        <v>0</v>
      </c>
      <c r="I19" s="1836">
        <f t="shared" si="2"/>
        <v>0</v>
      </c>
      <c r="J19" s="1836">
        <f t="shared" si="2"/>
        <v>0</v>
      </c>
    </row>
    <row r="20" spans="1:10" ht="13.5" thickTop="1" x14ac:dyDescent="0.2">
      <c r="A20" s="1036">
        <v>9</v>
      </c>
      <c r="B20" s="2349" t="s">
        <v>1703</v>
      </c>
      <c r="C20" s="2349"/>
      <c r="D20" s="2350"/>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1941</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5"/>
  <sheetViews>
    <sheetView showGridLines="0" zoomScale="110" zoomScaleNormal="110" workbookViewId="0">
      <selection activeCell="AI29" sqref="AI29"/>
    </sheetView>
  </sheetViews>
  <sheetFormatPr defaultColWidth="9.140625" defaultRowHeight="12.75" x14ac:dyDescent="0.2"/>
  <cols>
    <col min="1" max="1" width="3" style="329" customWidth="1"/>
    <col min="2" max="2" width="52.5703125" style="329" customWidth="1"/>
    <col min="3" max="3" width="13.5703125" style="329" customWidth="1"/>
    <col min="4" max="16384" width="9.140625" style="329"/>
  </cols>
  <sheetData>
    <row r="2" spans="1:4" x14ac:dyDescent="0.2">
      <c r="A2" s="389" t="s">
        <v>276</v>
      </c>
    </row>
    <row r="3" spans="1:4" x14ac:dyDescent="0.2">
      <c r="A3" s="329" t="s">
        <v>277</v>
      </c>
    </row>
    <row r="5" spans="1:4" x14ac:dyDescent="0.2">
      <c r="A5" s="1069">
        <v>1</v>
      </c>
      <c r="B5" s="675" t="s">
        <v>2139</v>
      </c>
      <c r="D5" s="329" t="s">
        <v>2140</v>
      </c>
    </row>
    <row r="6" spans="1:4" x14ac:dyDescent="0.2">
      <c r="A6" s="1069">
        <v>2</v>
      </c>
      <c r="B6" s="675" t="s">
        <v>2151</v>
      </c>
      <c r="D6" s="329" t="s">
        <v>2141</v>
      </c>
    </row>
    <row r="7" spans="1:4" x14ac:dyDescent="0.2">
      <c r="A7" s="1069">
        <v>3</v>
      </c>
      <c r="B7" s="675" t="s">
        <v>2152</v>
      </c>
      <c r="D7" s="329" t="s">
        <v>2142</v>
      </c>
    </row>
    <row r="8" spans="1:4" x14ac:dyDescent="0.2">
      <c r="A8" s="1069">
        <v>4</v>
      </c>
      <c r="B8" s="675" t="s">
        <v>2143</v>
      </c>
      <c r="D8" s="329" t="s">
        <v>2144</v>
      </c>
    </row>
    <row r="9" spans="1:4" x14ac:dyDescent="0.2">
      <c r="A9" s="1070">
        <v>5</v>
      </c>
      <c r="B9" s="675" t="s">
        <v>2145</v>
      </c>
      <c r="D9" s="329" t="s">
        <v>2146</v>
      </c>
    </row>
    <row r="10" spans="1:4" x14ac:dyDescent="0.2">
      <c r="A10" s="1070">
        <v>6</v>
      </c>
      <c r="B10" s="675" t="s">
        <v>2153</v>
      </c>
      <c r="D10" s="329" t="s">
        <v>2147</v>
      </c>
    </row>
    <row r="11" spans="1:4" x14ac:dyDescent="0.2">
      <c r="A11" s="1070">
        <v>7</v>
      </c>
      <c r="B11" s="329" t="s">
        <v>2154</v>
      </c>
      <c r="D11" s="329" t="s">
        <v>2148</v>
      </c>
    </row>
    <row r="12" spans="1:4" x14ac:dyDescent="0.2">
      <c r="A12" s="1070">
        <v>8</v>
      </c>
      <c r="B12" s="329" t="s">
        <v>2149</v>
      </c>
    </row>
    <row r="13" spans="1:4" x14ac:dyDescent="0.2">
      <c r="A13" s="1070"/>
    </row>
    <row r="14" spans="1:4" x14ac:dyDescent="0.2">
      <c r="A14" s="1070"/>
    </row>
    <row r="15" spans="1:4" x14ac:dyDescent="0.2">
      <c r="A15" s="1070"/>
    </row>
    <row r="16" spans="1:4"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SpEd Dist Lake Cty (SEDOL)</v>
      </c>
    </row>
    <row r="65" spans="2:2" x14ac:dyDescent="0.2">
      <c r="B65" s="1071">
        <f>COVER!A13</f>
        <v>34049825060</v>
      </c>
    </row>
  </sheetData>
  <phoneticPr fontId="13"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I29" sqref="AI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I29" sqref="AI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885825</xdr:colOff>
                <xdr:row>4</xdr:row>
                <xdr:rowOff>57150</xdr:rowOff>
              </from>
              <to>
                <xdr:col>1</xdr:col>
                <xdr:colOff>1800225</xdr:colOff>
                <xdr:row>8</xdr:row>
                <xdr:rowOff>95250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I29" sqref="AI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2053</v>
      </c>
      <c r="B4" s="2377"/>
      <c r="C4" s="2377"/>
      <c r="D4" s="2377"/>
      <c r="E4" s="2377"/>
      <c r="F4" s="2378"/>
      <c r="G4" s="1075"/>
      <c r="H4" s="1075"/>
    </row>
    <row r="5" spans="1:8" ht="14.25" customHeight="1" x14ac:dyDescent="0.2">
      <c r="A5" s="2379" t="s">
        <v>2054</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58004148</v>
      </c>
      <c r="C8" s="1838">
        <f>'Acct Summary 7-8'!D8</f>
        <v>2728994</v>
      </c>
      <c r="D8" s="1838">
        <f>'Acct Summary 7-8'!F8</f>
        <v>774906</v>
      </c>
      <c r="E8" s="1838">
        <f>'Acct Summary 7-8'!I8</f>
        <v>0</v>
      </c>
      <c r="F8" s="1838">
        <f>SUM(B8:E8)</f>
        <v>61508048</v>
      </c>
    </row>
    <row r="9" spans="1:8" s="1080" customFormat="1" ht="14.25" customHeight="1" thickBot="1" x14ac:dyDescent="0.25">
      <c r="A9" s="1079" t="s">
        <v>1436</v>
      </c>
      <c r="B9" s="1839">
        <f>'Acct Summary 7-8'!C17</f>
        <v>56208909</v>
      </c>
      <c r="C9" s="1839">
        <f>'Acct Summary 7-8'!D17</f>
        <v>5529979</v>
      </c>
      <c r="D9" s="1839">
        <f>'Acct Summary 7-8'!F17</f>
        <v>1258214</v>
      </c>
      <c r="E9" s="1838"/>
      <c r="F9" s="1838">
        <f>SUM(B9:E9)</f>
        <v>62997102</v>
      </c>
    </row>
    <row r="10" spans="1:8" s="1080" customFormat="1" ht="14.25" thickTop="1" thickBot="1" x14ac:dyDescent="0.25">
      <c r="A10" s="1081" t="s">
        <v>1437</v>
      </c>
      <c r="B10" s="1840">
        <f>(B8-B9)</f>
        <v>1795239</v>
      </c>
      <c r="C10" s="1840">
        <f>(C8-C9)</f>
        <v>-2800985</v>
      </c>
      <c r="D10" s="1840">
        <f>(D8-D9)</f>
        <v>-483308</v>
      </c>
      <c r="E10" s="1839">
        <f>(E8-E9)</f>
        <v>0</v>
      </c>
      <c r="F10" s="1841">
        <f>SUM(F8-F9)</f>
        <v>-1489054</v>
      </c>
    </row>
    <row r="11" spans="1:8" s="1080" customFormat="1" ht="14.25" thickTop="1" thickBot="1" x14ac:dyDescent="0.25">
      <c r="A11" s="1082" t="s">
        <v>1785</v>
      </c>
      <c r="B11" s="1842">
        <f>'Acct Summary 7-8'!C81</f>
        <v>10409025</v>
      </c>
      <c r="C11" s="1842">
        <f>'Acct Summary 7-8'!D81</f>
        <v>2558610</v>
      </c>
      <c r="D11" s="1842">
        <f>'Acct Summary 7-8'!F81</f>
        <v>285710</v>
      </c>
      <c r="E11" s="1842">
        <f>'Acct Summary 7-8'!I81</f>
        <v>0</v>
      </c>
      <c r="F11" s="1843">
        <f>SUM(B11:E11)</f>
        <v>13253345</v>
      </c>
    </row>
    <row r="12" spans="1:8" ht="16.5" customHeight="1" thickTop="1" x14ac:dyDescent="0.2">
      <c r="A12" s="1083"/>
      <c r="B12" s="1084"/>
      <c r="C12" s="2361" t="str">
        <f>IF(AND(F10&lt;0,F11&gt;=0,ABS(F10*3)&gt;ABS(F11)),A16,IF(AND(F10&lt;0,F11&gt;0,ABS(F10*3)&lt;=ABS(F11)),A17,IF(AND(F10&lt;0,F11&lt;0),A16,IF(F11=0,A19,A18))))</f>
        <v>Unbalanced -  however, a deficit reduction plan is not required at this time.</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34049825060</v>
      </c>
    </row>
    <row r="3" spans="1:2" x14ac:dyDescent="0.2">
      <c r="A3" t="s">
        <v>1013</v>
      </c>
      <c r="B3" s="138" t="str">
        <f>COVER!A15</f>
        <v>LAKE</v>
      </c>
    </row>
    <row r="4" spans="1:2" x14ac:dyDescent="0.2">
      <c r="A4" t="s">
        <v>1064</v>
      </c>
      <c r="B4" s="138" t="str">
        <f>COVER!A17</f>
        <v>SpEd Dist Lake Cty (SEDOL)</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KEVIN SMITH</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9950100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161966</v>
      </c>
      <c r="D76" s="2" t="str">
        <f t="shared" si="0"/>
        <v>Error?</v>
      </c>
    </row>
    <row r="77" spans="1:4" x14ac:dyDescent="0.2">
      <c r="A77" s="5">
        <v>16</v>
      </c>
      <c r="B77" s="138">
        <f>'Assets-Liab 5-6'!C13</f>
        <v>20252873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906030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9843848</v>
      </c>
      <c r="C91" s="2" t="s">
        <v>594</v>
      </c>
      <c r="D91" s="2" t="str">
        <f t="shared" si="0"/>
        <v>Error?</v>
      </c>
    </row>
    <row r="92" spans="1:4" x14ac:dyDescent="0.2">
      <c r="A92" s="5">
        <v>31</v>
      </c>
      <c r="B92" s="138">
        <f>'Assets-Liab 5-6'!C39</f>
        <v>9705046</v>
      </c>
      <c r="D92" s="2" t="str">
        <f t="shared" si="0"/>
        <v>Error?</v>
      </c>
    </row>
    <row r="93" spans="1:4" x14ac:dyDescent="0.2">
      <c r="A93" s="5">
        <v>32</v>
      </c>
      <c r="B93" s="138">
        <f>'Assets-Liab 5-6'!C41</f>
        <v>20252873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2599128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40518</v>
      </c>
      <c r="C122" s="2" t="s">
        <v>594</v>
      </c>
      <c r="D122" s="2" t="str">
        <f t="shared" si="0"/>
        <v>Error?</v>
      </c>
    </row>
    <row r="123" spans="1:4" x14ac:dyDescent="0.2">
      <c r="A123" s="5">
        <v>62</v>
      </c>
      <c r="B123" s="138">
        <f>'Assets-Liab 5-6'!D39</f>
        <v>2558610</v>
      </c>
      <c r="D123" s="2" t="str">
        <f t="shared" si="0"/>
        <v>Error?</v>
      </c>
    </row>
    <row r="124" spans="1:4" x14ac:dyDescent="0.2">
      <c r="A124" s="5">
        <v>63</v>
      </c>
      <c r="B124" s="138">
        <f>'Assets-Liab 5-6'!D41</f>
        <v>2599128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168577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168577</v>
      </c>
      <c r="D140" s="2" t="str">
        <f t="shared" si="1"/>
        <v>Error?</v>
      </c>
    </row>
    <row r="141" spans="1:4" x14ac:dyDescent="0.2">
      <c r="A141" s="5">
        <v>80</v>
      </c>
      <c r="B141" s="138">
        <f>'Assets-Liab 5-6'!E41</f>
        <v>168577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292732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7022</v>
      </c>
      <c r="C169" s="2" t="s">
        <v>594</v>
      </c>
      <c r="D169" s="2" t="str">
        <f t="shared" si="1"/>
        <v>Error?</v>
      </c>
    </row>
    <row r="170" spans="1:4" x14ac:dyDescent="0.2">
      <c r="A170" s="5">
        <v>109</v>
      </c>
      <c r="B170" s="138">
        <f>'Assets-Liab 5-6'!F39</f>
        <v>285710</v>
      </c>
      <c r="D170" s="2" t="str">
        <f t="shared" si="1"/>
        <v>Error?</v>
      </c>
    </row>
    <row r="171" spans="1:4" x14ac:dyDescent="0.2">
      <c r="A171" s="5">
        <v>110</v>
      </c>
      <c r="B171" s="138">
        <f>'Assets-Liab 5-6'!F41</f>
        <v>292732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1637836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190527</v>
      </c>
      <c r="C188" s="2" t="s">
        <v>594</v>
      </c>
      <c r="D188" s="2" t="str">
        <f t="shared" si="1"/>
        <v>Error?</v>
      </c>
    </row>
    <row r="189" spans="1:4" x14ac:dyDescent="0.2">
      <c r="A189" s="5">
        <v>128</v>
      </c>
      <c r="B189" s="138">
        <f>'Assets-Liab 5-6'!G39</f>
        <v>1447309</v>
      </c>
      <c r="D189" s="2" t="str">
        <f t="shared" si="1"/>
        <v>Error?</v>
      </c>
    </row>
    <row r="190" spans="1:4" x14ac:dyDescent="0.2">
      <c r="A190" s="5">
        <v>129</v>
      </c>
      <c r="B190" s="138">
        <f>'Assets-Liab 5-6'!G41</f>
        <v>1637836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1260625</v>
      </c>
      <c r="D273" s="2" t="str">
        <f t="shared" si="3"/>
        <v>Error?</v>
      </c>
    </row>
    <row r="274" spans="1:4" x14ac:dyDescent="0.2">
      <c r="A274" s="5">
        <v>213</v>
      </c>
      <c r="B274" s="138">
        <f>'Assets-Liab 5-6'!M17</f>
        <v>42917715</v>
      </c>
      <c r="D274" s="2" t="str">
        <f t="shared" si="3"/>
        <v>Error?</v>
      </c>
    </row>
    <row r="275" spans="1:4" x14ac:dyDescent="0.2">
      <c r="A275" s="5">
        <v>214</v>
      </c>
      <c r="B275" s="138">
        <f>'Assets-Liab 5-6'!M18</f>
        <v>6393339</v>
      </c>
      <c r="D275" s="2" t="str">
        <f t="shared" si="3"/>
        <v>Error?</v>
      </c>
    </row>
    <row r="276" spans="1:4" x14ac:dyDescent="0.2">
      <c r="A276" s="5">
        <v>215</v>
      </c>
      <c r="B276" s="138">
        <f>'Assets-Liab 5-6'!M19</f>
        <v>3189392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53761071</v>
      </c>
      <c r="C279" s="2" t="s">
        <v>594</v>
      </c>
      <c r="D279" s="2" t="str">
        <f t="shared" si="3"/>
        <v>Error?</v>
      </c>
    </row>
    <row r="280" spans="1:4" x14ac:dyDescent="0.2">
      <c r="A280" s="5">
        <v>219</v>
      </c>
      <c r="B280" s="138">
        <f>'Assets-Liab 5-6'!M40</f>
        <v>53761071</v>
      </c>
      <c r="D280" s="2" t="str">
        <f t="shared" si="3"/>
        <v>Error?</v>
      </c>
    </row>
    <row r="281" spans="1:4" x14ac:dyDescent="0.2">
      <c r="A281" s="5">
        <v>220</v>
      </c>
      <c r="B281" s="138">
        <f>'Assets-Liab 5-6'!M41</f>
        <v>53761071</v>
      </c>
      <c r="C281" s="2" t="s">
        <v>594</v>
      </c>
      <c r="D281" s="2" t="str">
        <f t="shared" si="3"/>
        <v>Error?</v>
      </c>
    </row>
    <row r="282" spans="1:4" x14ac:dyDescent="0.2">
      <c r="A282" s="5">
        <v>221</v>
      </c>
      <c r="B282" s="138">
        <f>'Assets-Liab 5-6'!N21</f>
        <v>168577</v>
      </c>
      <c r="D282" s="2" t="str">
        <f t="shared" si="3"/>
        <v>Error?</v>
      </c>
    </row>
    <row r="283" spans="1:4" x14ac:dyDescent="0.2">
      <c r="A283" s="5">
        <v>222</v>
      </c>
      <c r="B283" s="138">
        <f>'Assets-Liab 5-6'!N22</f>
        <v>3291423</v>
      </c>
      <c r="D283" s="2" t="str">
        <f t="shared" si="3"/>
        <v>Error?</v>
      </c>
    </row>
    <row r="284" spans="1:4" x14ac:dyDescent="0.2">
      <c r="A284" s="5">
        <v>223</v>
      </c>
      <c r="B284" s="138">
        <f>'Assets-Liab 5-6'!N23</f>
        <v>3460000</v>
      </c>
      <c r="C284" s="2" t="s">
        <v>594</v>
      </c>
      <c r="D284" s="2" t="str">
        <f t="shared" si="3"/>
        <v>Error?</v>
      </c>
    </row>
    <row r="285" spans="1:4" x14ac:dyDescent="0.2">
      <c r="A285" s="5">
        <v>224</v>
      </c>
      <c r="B285" s="138">
        <f>'Assets-Liab 5-6'!N36</f>
        <v>3460000</v>
      </c>
      <c r="D285" s="2" t="str">
        <f t="shared" si="3"/>
        <v>Error?</v>
      </c>
    </row>
    <row r="286" spans="1:4" x14ac:dyDescent="0.2">
      <c r="A286" s="10">
        <v>225</v>
      </c>
      <c r="D286" s="2" t="str">
        <f t="shared" si="3"/>
        <v>OK</v>
      </c>
    </row>
    <row r="287" spans="1:4" x14ac:dyDescent="0.2">
      <c r="A287" s="5">
        <v>226</v>
      </c>
      <c r="B287" s="138">
        <f>'Assets-Liab 5-6'!N37</f>
        <v>3460000</v>
      </c>
      <c r="C287" s="2" t="s">
        <v>594</v>
      </c>
      <c r="D287" s="2" t="str">
        <f t="shared" si="3"/>
        <v>Error?</v>
      </c>
    </row>
    <row r="288" spans="1:4" x14ac:dyDescent="0.2">
      <c r="A288" s="5">
        <v>227</v>
      </c>
      <c r="B288" s="138">
        <f>'Assets-Liab 5-6'!N41</f>
        <v>3460000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1038358</v>
      </c>
      <c r="D717" s="2" t="str">
        <f t="shared" si="10"/>
        <v>Error?</v>
      </c>
    </row>
    <row r="718" spans="1:4" x14ac:dyDescent="0.2">
      <c r="A718" s="5">
        <v>657</v>
      </c>
      <c r="B718" s="138">
        <f>'Expenditures 15-22'!C14</f>
        <v>12271</v>
      </c>
      <c r="D718" s="2" t="str">
        <f t="shared" si="10"/>
        <v>Error?</v>
      </c>
    </row>
    <row r="719" spans="1:4" x14ac:dyDescent="0.2">
      <c r="A719" s="5">
        <v>658</v>
      </c>
      <c r="B719" s="138">
        <f>'Expenditures 15-22'!C15</f>
        <v>469064</v>
      </c>
      <c r="D719" s="2" t="str">
        <f t="shared" si="10"/>
        <v>Error?</v>
      </c>
    </row>
    <row r="720" spans="1:4" x14ac:dyDescent="0.2">
      <c r="A720" s="5">
        <v>659</v>
      </c>
      <c r="B720" s="138">
        <f>'Expenditures 15-22'!C33</f>
        <v>18154436</v>
      </c>
      <c r="C720" s="2" t="s">
        <v>594</v>
      </c>
      <c r="D720" s="2" t="str">
        <f t="shared" si="10"/>
        <v>Error?</v>
      </c>
    </row>
    <row r="721" spans="1:4" x14ac:dyDescent="0.2">
      <c r="A721" s="5">
        <v>660</v>
      </c>
      <c r="B721" s="138">
        <f>'Expenditures 15-22'!C36</f>
        <v>2392759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4249990</v>
      </c>
      <c r="D723" s="2" t="str">
        <f t="shared" si="10"/>
        <v>Error?</v>
      </c>
    </row>
    <row r="724" spans="1:4" x14ac:dyDescent="0.2">
      <c r="A724" s="5">
        <v>663</v>
      </c>
      <c r="B724" s="138">
        <f>'Expenditures 15-22'!C39</f>
        <v>1057838</v>
      </c>
      <c r="D724" s="2" t="str">
        <f t="shared" si="10"/>
        <v>Error?</v>
      </c>
    </row>
    <row r="725" spans="1:4" x14ac:dyDescent="0.2">
      <c r="A725" s="5">
        <v>664</v>
      </c>
      <c r="B725" s="138">
        <f>'Expenditures 15-22'!C40</f>
        <v>2124882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9825469</v>
      </c>
      <c r="C727" s="2" t="s">
        <v>594</v>
      </c>
      <c r="D727" s="2" t="str">
        <f t="shared" si="10"/>
        <v>Error?</v>
      </c>
    </row>
    <row r="728" spans="1:4" x14ac:dyDescent="0.2">
      <c r="A728" s="5">
        <v>667</v>
      </c>
      <c r="B728" s="138">
        <f>'Expenditures 15-22'!C44</f>
        <v>265480</v>
      </c>
      <c r="D728" s="2" t="str">
        <f t="shared" si="10"/>
        <v>Error?</v>
      </c>
    </row>
    <row r="729" spans="1:4" x14ac:dyDescent="0.2">
      <c r="A729" s="5">
        <v>668</v>
      </c>
      <c r="B729" s="138">
        <f>'Expenditures 15-22'!C45</f>
        <v>115855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381335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812151</v>
      </c>
      <c r="D733" s="2" t="str">
        <f t="shared" si="10"/>
        <v>Error?</v>
      </c>
    </row>
    <row r="734" spans="1:4" x14ac:dyDescent="0.2">
      <c r="A734" s="5">
        <v>673</v>
      </c>
      <c r="B734" s="138">
        <f>'Expenditures 15-22'!C53</f>
        <v>812151</v>
      </c>
      <c r="C734" s="2" t="s">
        <v>594</v>
      </c>
      <c r="D734" s="2" t="str">
        <f t="shared" si="10"/>
        <v>Error?</v>
      </c>
    </row>
    <row r="735" spans="1:4" x14ac:dyDescent="0.2">
      <c r="A735" s="5">
        <v>674</v>
      </c>
      <c r="B735" s="138">
        <f>'Expenditures 15-22'!C55</f>
        <v>2057561</v>
      </c>
      <c r="D735" s="2" t="str">
        <f t="shared" si="10"/>
        <v>Error?</v>
      </c>
    </row>
    <row r="736" spans="1:4" x14ac:dyDescent="0.2">
      <c r="A736" s="5">
        <v>675</v>
      </c>
      <c r="B736" s="138">
        <f>'Expenditures 15-22'!C56</f>
        <v>52890</v>
      </c>
      <c r="D736" s="2" t="str">
        <f t="shared" si="10"/>
        <v>Error?</v>
      </c>
    </row>
    <row r="737" spans="1:4" x14ac:dyDescent="0.2">
      <c r="A737" s="5">
        <v>676</v>
      </c>
      <c r="B737" s="138">
        <f>'Expenditures 15-22'!C57</f>
        <v>2110451</v>
      </c>
      <c r="C737" s="2" t="s">
        <v>594</v>
      </c>
      <c r="D737" s="2" t="str">
        <f t="shared" si="10"/>
        <v>Error?</v>
      </c>
    </row>
    <row r="738" spans="1:4" x14ac:dyDescent="0.2">
      <c r="A738" s="5">
        <v>677</v>
      </c>
      <c r="B738" s="138">
        <f>'Expenditures 15-22'!C59</f>
        <v>149346</v>
      </c>
      <c r="D738" s="2" t="str">
        <f t="shared" si="10"/>
        <v>Error?</v>
      </c>
    </row>
    <row r="739" spans="1:4" x14ac:dyDescent="0.2">
      <c r="A739" s="5">
        <v>678</v>
      </c>
      <c r="B739" s="138">
        <f>'Expenditures 15-22'!C60</f>
        <v>309445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458791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54621</v>
      </c>
      <c r="D751" s="2" t="str">
        <f t="shared" si="10"/>
        <v>Error?</v>
      </c>
    </row>
    <row r="752" spans="1:4" x14ac:dyDescent="0.2">
      <c r="A752" s="10">
        <v>691</v>
      </c>
      <c r="D752" s="2" t="str">
        <f t="shared" si="10"/>
        <v>OK</v>
      </c>
    </row>
    <row r="753" spans="1:4" x14ac:dyDescent="0.2">
      <c r="A753" s="5">
        <v>692</v>
      </c>
      <c r="B753" s="138">
        <f>'Expenditures 15-22'!C72</f>
        <v>54621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13642818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31797254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296318</v>
      </c>
      <c r="D775" s="2" t="str">
        <f t="shared" si="11"/>
        <v>Error?</v>
      </c>
    </row>
    <row r="776" spans="1:4" x14ac:dyDescent="0.2">
      <c r="A776" s="5">
        <v>715</v>
      </c>
      <c r="B776" s="138">
        <f>'Expenditures 15-22'!D14</f>
        <v>921</v>
      </c>
      <c r="D776" s="2" t="str">
        <f t="shared" si="11"/>
        <v>Error?</v>
      </c>
    </row>
    <row r="777" spans="1:4" x14ac:dyDescent="0.2">
      <c r="A777" s="5">
        <v>716</v>
      </c>
      <c r="B777" s="138">
        <f>'Expenditures 15-22'!D15</f>
        <v>25205</v>
      </c>
      <c r="D777" s="2" t="str">
        <f t="shared" si="11"/>
        <v>Error?</v>
      </c>
    </row>
    <row r="778" spans="1:4" x14ac:dyDescent="0.2">
      <c r="A778" s="5">
        <v>717</v>
      </c>
      <c r="B778" s="138">
        <f>'Expenditures 15-22'!D33</f>
        <v>4682565</v>
      </c>
      <c r="C778" s="2" t="s">
        <v>594</v>
      </c>
      <c r="D778" s="2" t="str">
        <f t="shared" si="11"/>
        <v>Error?</v>
      </c>
    </row>
    <row r="779" spans="1:4" x14ac:dyDescent="0.2">
      <c r="A779" s="5">
        <v>718</v>
      </c>
      <c r="B779" s="138">
        <f>'Expenditures 15-22'!D36</f>
        <v>369517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814507</v>
      </c>
      <c r="D781" s="2" t="str">
        <f t="shared" si="11"/>
        <v>Error?</v>
      </c>
    </row>
    <row r="782" spans="1:4" x14ac:dyDescent="0.2">
      <c r="A782" s="5">
        <v>721</v>
      </c>
      <c r="B782" s="138">
        <f>'Expenditures 15-22'!D39</f>
        <v>154595</v>
      </c>
      <c r="D782" s="2" t="str">
        <f t="shared" si="11"/>
        <v>Error?</v>
      </c>
    </row>
    <row r="783" spans="1:4" x14ac:dyDescent="0.2">
      <c r="A783" s="5">
        <v>722</v>
      </c>
      <c r="B783" s="138">
        <f>'Expenditures 15-22'!D40</f>
        <v>363296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1701915</v>
      </c>
      <c r="C785" s="2" t="s">
        <v>594</v>
      </c>
      <c r="D785" s="2" t="str">
        <f t="shared" si="11"/>
        <v>Error?</v>
      </c>
    </row>
    <row r="786" spans="1:4" x14ac:dyDescent="0.2">
      <c r="A786" s="5">
        <v>725</v>
      </c>
      <c r="B786" s="138">
        <f>'Expenditures 15-22'!D44</f>
        <v>97168</v>
      </c>
      <c r="D786" s="2" t="str">
        <f t="shared" si="11"/>
        <v>Error?</v>
      </c>
    </row>
    <row r="787" spans="1:4" x14ac:dyDescent="0.2">
      <c r="A787" s="5">
        <v>726</v>
      </c>
      <c r="B787" s="138">
        <f>'Expenditures 15-22'!D45</f>
        <v>26952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124120</v>
      </c>
      <c r="C789" s="2" t="s">
        <v>594</v>
      </c>
      <c r="D789" s="2" t="str">
        <f t="shared" si="11"/>
        <v>Error?</v>
      </c>
    </row>
    <row r="790" spans="1:4" x14ac:dyDescent="0.2">
      <c r="A790" s="5">
        <v>729</v>
      </c>
      <c r="B790" s="138">
        <f>'Expenditures 15-22'!D49</f>
        <v>111180</v>
      </c>
      <c r="D790" s="2" t="str">
        <f t="shared" si="11"/>
        <v>Error?</v>
      </c>
    </row>
    <row r="791" spans="1:4" x14ac:dyDescent="0.2">
      <c r="A791" s="5">
        <v>730</v>
      </c>
      <c r="B791" s="138">
        <f>'Expenditures 15-22'!D50</f>
        <v>236720</v>
      </c>
      <c r="D791" s="2" t="str">
        <f t="shared" si="11"/>
        <v>Error?</v>
      </c>
    </row>
    <row r="792" spans="1:4" x14ac:dyDescent="0.2">
      <c r="A792" s="5">
        <v>731</v>
      </c>
      <c r="B792" s="138">
        <f>'Expenditures 15-22'!D53</f>
        <v>347900</v>
      </c>
      <c r="C792" s="2" t="s">
        <v>594</v>
      </c>
      <c r="D792" s="2" t="str">
        <f t="shared" si="11"/>
        <v>Error?</v>
      </c>
    </row>
    <row r="793" spans="1:4" x14ac:dyDescent="0.2">
      <c r="A793" s="5">
        <v>732</v>
      </c>
      <c r="B793" s="138">
        <f>'Expenditures 15-22'!D55</f>
        <v>571957</v>
      </c>
      <c r="D793" s="2" t="str">
        <f t="shared" si="11"/>
        <v>Error?</v>
      </c>
    </row>
    <row r="794" spans="1:4" x14ac:dyDescent="0.2">
      <c r="A794" s="5">
        <v>733</v>
      </c>
      <c r="B794" s="138">
        <f>'Expenditures 15-22'!D56</f>
        <v>11922</v>
      </c>
      <c r="D794" s="2" t="str">
        <f t="shared" si="11"/>
        <v>Error?</v>
      </c>
    </row>
    <row r="795" spans="1:4" x14ac:dyDescent="0.2">
      <c r="A795" s="5">
        <v>734</v>
      </c>
      <c r="B795" s="138">
        <f>'Expenditures 15-22'!D57</f>
        <v>583879</v>
      </c>
      <c r="C795" s="2" t="s">
        <v>594</v>
      </c>
      <c r="D795" s="2" t="str">
        <f t="shared" si="11"/>
        <v>Error?</v>
      </c>
    </row>
    <row r="796" spans="1:4" x14ac:dyDescent="0.2">
      <c r="A796" s="5">
        <v>735</v>
      </c>
      <c r="B796" s="138">
        <f>'Expenditures 15-22'!D59</f>
        <v>32721</v>
      </c>
      <c r="D796" s="2" t="str">
        <f t="shared" si="11"/>
        <v>Error?</v>
      </c>
    </row>
    <row r="797" spans="1:4" x14ac:dyDescent="0.2">
      <c r="A797" s="5">
        <v>736</v>
      </c>
      <c r="B797" s="138">
        <f>'Expenditures 15-22'!D60</f>
        <v>82109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114830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17918</v>
      </c>
      <c r="D809" s="2" t="str">
        <f t="shared" si="11"/>
        <v>Error?</v>
      </c>
    </row>
    <row r="810" spans="1:4" x14ac:dyDescent="0.2">
      <c r="A810" s="10">
        <v>749</v>
      </c>
      <c r="D810" s="2" t="str">
        <f t="shared" si="11"/>
        <v>OK</v>
      </c>
    </row>
    <row r="811" spans="1:4" x14ac:dyDescent="0.2">
      <c r="A811" s="5">
        <v>750</v>
      </c>
      <c r="B811" s="138">
        <f>'Expenditures 15-22'!D72</f>
        <v>17918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2890562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7573127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65817</v>
      </c>
      <c r="D833" s="2" t="str">
        <f t="shared" si="12"/>
        <v>Error?</v>
      </c>
    </row>
    <row r="834" spans="1:4" x14ac:dyDescent="0.2">
      <c r="A834" s="5">
        <v>773</v>
      </c>
      <c r="B834" s="138">
        <f>'Expenditures 15-22'!E14</f>
        <v>0</v>
      </c>
      <c r="D834" s="2" t="str">
        <f t="shared" si="12"/>
        <v>Error?</v>
      </c>
    </row>
    <row r="835" spans="1:4" x14ac:dyDescent="0.2">
      <c r="A835" s="5">
        <v>774</v>
      </c>
      <c r="B835" s="138">
        <f>'Expenditures 15-22'!E15</f>
        <v>49557</v>
      </c>
      <c r="D835" s="2" t="str">
        <f t="shared" si="12"/>
        <v>Error?</v>
      </c>
    </row>
    <row r="836" spans="1:4" x14ac:dyDescent="0.2">
      <c r="A836" s="5">
        <v>775</v>
      </c>
      <c r="B836" s="138">
        <f>'Expenditures 15-22'!E33</f>
        <v>1244409</v>
      </c>
      <c r="C836" s="2" t="s">
        <v>594</v>
      </c>
      <c r="D836" s="2" t="str">
        <f t="shared" si="12"/>
        <v>Error?</v>
      </c>
    </row>
    <row r="837" spans="1:4" x14ac:dyDescent="0.2">
      <c r="A837" s="5">
        <v>776</v>
      </c>
      <c r="B837" s="138">
        <f>'Expenditures 15-22'!E36</f>
        <v>6862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49136</v>
      </c>
      <c r="D839" s="2" t="str">
        <f t="shared" si="12"/>
        <v>Error?</v>
      </c>
    </row>
    <row r="840" spans="1:4" x14ac:dyDescent="0.2">
      <c r="A840" s="5">
        <v>779</v>
      </c>
      <c r="B840" s="138">
        <f>'Expenditures 15-22'!E39</f>
        <v>92538</v>
      </c>
      <c r="D840" s="2" t="str">
        <f t="shared" si="12"/>
        <v>Error?</v>
      </c>
    </row>
    <row r="841" spans="1:4" x14ac:dyDescent="0.2">
      <c r="A841" s="5">
        <v>780</v>
      </c>
      <c r="B841" s="138">
        <f>'Expenditures 15-22'!E40</f>
        <v>493519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642055</v>
      </c>
      <c r="C843" s="2" t="s">
        <v>594</v>
      </c>
      <c r="D843" s="2" t="str">
        <f t="shared" si="12"/>
        <v>Error?</v>
      </c>
    </row>
    <row r="844" spans="1:4" x14ac:dyDescent="0.2">
      <c r="A844" s="5">
        <v>783</v>
      </c>
      <c r="B844" s="138">
        <f>'Expenditures 15-22'!E44</f>
        <v>175326</v>
      </c>
      <c r="D844" s="2" t="str">
        <f t="shared" si="12"/>
        <v>Error?</v>
      </c>
    </row>
    <row r="845" spans="1:4" x14ac:dyDescent="0.2">
      <c r="A845" s="5">
        <v>784</v>
      </c>
      <c r="B845" s="138">
        <f>'Expenditures 15-22'!E45</f>
        <v>354492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529818</v>
      </c>
      <c r="C847" s="2" t="s">
        <v>594</v>
      </c>
      <c r="D847" s="2" t="str">
        <f t="shared" si="12"/>
        <v>Error?</v>
      </c>
    </row>
    <row r="848" spans="1:4" x14ac:dyDescent="0.2">
      <c r="A848" s="5">
        <v>787</v>
      </c>
      <c r="B848" s="138">
        <f>'Expenditures 15-22'!E49</f>
        <v>626295</v>
      </c>
      <c r="D848" s="2" t="str">
        <f t="shared" si="12"/>
        <v>Error?</v>
      </c>
    </row>
    <row r="849" spans="1:4" x14ac:dyDescent="0.2">
      <c r="A849" s="5">
        <v>788</v>
      </c>
      <c r="B849" s="138">
        <f>'Expenditures 15-22'!E50</f>
        <v>50814</v>
      </c>
      <c r="D849" s="2" t="str">
        <f t="shared" si="12"/>
        <v>Error?</v>
      </c>
    </row>
    <row r="850" spans="1:4" x14ac:dyDescent="0.2">
      <c r="A850" s="5">
        <v>789</v>
      </c>
      <c r="B850" s="138">
        <f>'Expenditures 15-22'!E53</f>
        <v>677109</v>
      </c>
      <c r="C850" s="2" t="s">
        <v>594</v>
      </c>
      <c r="D850" s="2" t="str">
        <f t="shared" si="12"/>
        <v>Error?</v>
      </c>
    </row>
    <row r="851" spans="1:4" x14ac:dyDescent="0.2">
      <c r="A851" s="5">
        <v>790</v>
      </c>
      <c r="B851" s="138">
        <f>'Expenditures 15-22'!E55</f>
        <v>10199</v>
      </c>
      <c r="D851" s="2" t="str">
        <f t="shared" si="12"/>
        <v>Error?</v>
      </c>
    </row>
    <row r="852" spans="1:4" x14ac:dyDescent="0.2">
      <c r="A852" s="5">
        <v>791</v>
      </c>
      <c r="B852" s="138">
        <f>'Expenditures 15-22'!E56</f>
        <v>1601</v>
      </c>
      <c r="D852" s="2" t="str">
        <f t="shared" si="12"/>
        <v>Error?</v>
      </c>
    </row>
    <row r="853" spans="1:4" x14ac:dyDescent="0.2">
      <c r="A853" s="5">
        <v>792</v>
      </c>
      <c r="B853" s="138">
        <f>'Expenditures 15-22'!E57</f>
        <v>11800</v>
      </c>
      <c r="C853" s="2" t="s">
        <v>594</v>
      </c>
      <c r="D853" s="2" t="str">
        <f t="shared" si="12"/>
        <v>Error?</v>
      </c>
    </row>
    <row r="854" spans="1:4" x14ac:dyDescent="0.2">
      <c r="A854" s="5">
        <v>793</v>
      </c>
      <c r="B854" s="138">
        <f>'Expenditures 15-22'!E59</f>
        <v>60822</v>
      </c>
      <c r="D854" s="2" t="str">
        <f t="shared" si="12"/>
        <v>Error?</v>
      </c>
    </row>
    <row r="855" spans="1:4" x14ac:dyDescent="0.2">
      <c r="A855" s="5">
        <v>794</v>
      </c>
      <c r="B855" s="138">
        <f>'Expenditures 15-22'!E60</f>
        <v>15660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215328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291810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54951</v>
      </c>
      <c r="D867" s="2" t="str">
        <f t="shared" si="12"/>
        <v>Error?</v>
      </c>
    </row>
    <row r="868" spans="1:4" x14ac:dyDescent="0.2">
      <c r="A868" s="10">
        <v>807</v>
      </c>
      <c r="D868" s="2" t="str">
        <f t="shared" si="12"/>
        <v>OK</v>
      </c>
    </row>
    <row r="869" spans="1:4" x14ac:dyDescent="0.2">
      <c r="A869" s="5">
        <v>808</v>
      </c>
      <c r="B869" s="138">
        <f>'Expenditures 15-22'!E72</f>
        <v>54951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2207543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3627865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24488</v>
      </c>
      <c r="D891" s="2" t="str">
        <f t="shared" si="12"/>
        <v>Error?</v>
      </c>
    </row>
    <row r="892" spans="1:4" x14ac:dyDescent="0.2">
      <c r="A892" s="5">
        <v>831</v>
      </c>
      <c r="B892" s="138">
        <f>'Expenditures 15-22'!F14</f>
        <v>0</v>
      </c>
      <c r="D892" s="2" t="str">
        <f t="shared" si="12"/>
        <v>Error?</v>
      </c>
    </row>
    <row r="893" spans="1:4" x14ac:dyDescent="0.2">
      <c r="A893" s="5">
        <v>832</v>
      </c>
      <c r="B893" s="138">
        <f>'Expenditures 15-22'!F15</f>
        <v>4399</v>
      </c>
      <c r="D893" s="2" t="str">
        <f t="shared" si="12"/>
        <v>Error?</v>
      </c>
    </row>
    <row r="894" spans="1:4" x14ac:dyDescent="0.2">
      <c r="A894" s="5">
        <v>833</v>
      </c>
      <c r="B894" s="138">
        <f>'Expenditures 15-22'!F33</f>
        <v>334787</v>
      </c>
      <c r="C894" s="2" t="s">
        <v>594</v>
      </c>
      <c r="D894" s="2" t="str">
        <f t="shared" si="12"/>
        <v>Error?</v>
      </c>
    </row>
    <row r="895" spans="1:4" x14ac:dyDescent="0.2">
      <c r="A895" s="5">
        <v>834</v>
      </c>
      <c r="B895" s="138">
        <f>'Expenditures 15-22'!F36</f>
        <v>1201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39622</v>
      </c>
      <c r="D897" s="2" t="str">
        <f t="shared" si="13"/>
        <v>Error?</v>
      </c>
    </row>
    <row r="898" spans="1:4" x14ac:dyDescent="0.2">
      <c r="A898" s="5">
        <v>837</v>
      </c>
      <c r="B898" s="138">
        <f>'Expenditures 15-22'!F39</f>
        <v>7102</v>
      </c>
      <c r="D898" s="2" t="str">
        <f t="shared" si="13"/>
        <v>Error?</v>
      </c>
    </row>
    <row r="899" spans="1:4" x14ac:dyDescent="0.2">
      <c r="A899" s="5">
        <v>838</v>
      </c>
      <c r="B899" s="138">
        <f>'Expenditures 15-22'!F40</f>
        <v>10733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58658</v>
      </c>
      <c r="C901" s="2" t="s">
        <v>594</v>
      </c>
      <c r="D901" s="2" t="str">
        <f t="shared" si="13"/>
        <v>Error?</v>
      </c>
    </row>
    <row r="902" spans="1:4" x14ac:dyDescent="0.2">
      <c r="A902" s="5">
        <v>841</v>
      </c>
      <c r="B902" s="138">
        <f>'Expenditures 15-22'!F44</f>
        <v>145858</v>
      </c>
      <c r="D902" s="2" t="str">
        <f t="shared" si="13"/>
        <v>Error?</v>
      </c>
    </row>
    <row r="903" spans="1:4" x14ac:dyDescent="0.2">
      <c r="A903" s="5">
        <v>842</v>
      </c>
      <c r="B903" s="138">
        <f>'Expenditures 15-22'!F45</f>
        <v>82601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228459</v>
      </c>
      <c r="C905" s="2" t="s">
        <v>594</v>
      </c>
      <c r="D905" s="2" t="str">
        <f t="shared" si="13"/>
        <v>Error?</v>
      </c>
    </row>
    <row r="906" spans="1:4" x14ac:dyDescent="0.2">
      <c r="A906" s="5">
        <v>845</v>
      </c>
      <c r="B906" s="138">
        <f>'Expenditures 15-22'!F49</f>
        <v>7801</v>
      </c>
      <c r="D906" s="2" t="str">
        <f t="shared" si="13"/>
        <v>Error?</v>
      </c>
    </row>
    <row r="907" spans="1:4" x14ac:dyDescent="0.2">
      <c r="A907" s="5">
        <v>846</v>
      </c>
      <c r="B907" s="138">
        <f>'Expenditures 15-22'!F50</f>
        <v>14887</v>
      </c>
      <c r="D907" s="2" t="str">
        <f t="shared" si="13"/>
        <v>Error?</v>
      </c>
    </row>
    <row r="908" spans="1:4" x14ac:dyDescent="0.2">
      <c r="A908" s="5">
        <v>847</v>
      </c>
      <c r="B908" s="138">
        <f>'Expenditures 15-22'!F53</f>
        <v>22688</v>
      </c>
      <c r="C908" s="2" t="s">
        <v>594</v>
      </c>
      <c r="D908" s="2" t="str">
        <f t="shared" si="13"/>
        <v>Error?</v>
      </c>
    </row>
    <row r="909" spans="1:4" x14ac:dyDescent="0.2">
      <c r="A909" s="5">
        <v>848</v>
      </c>
      <c r="B909" s="138">
        <f>'Expenditures 15-22'!F55</f>
        <v>2594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2594</v>
      </c>
      <c r="C911" s="2" t="s">
        <v>594</v>
      </c>
      <c r="D911" s="2" t="str">
        <f t="shared" si="13"/>
        <v>Error?</v>
      </c>
    </row>
    <row r="912" spans="1:4" x14ac:dyDescent="0.2">
      <c r="A912" s="5">
        <v>851</v>
      </c>
      <c r="B912" s="138">
        <f>'Expenditures 15-22'!F59</f>
        <v>1345</v>
      </c>
      <c r="D912" s="2" t="str">
        <f t="shared" si="13"/>
        <v>Error?</v>
      </c>
    </row>
    <row r="913" spans="1:4" x14ac:dyDescent="0.2">
      <c r="A913" s="5">
        <v>852</v>
      </c>
      <c r="B913" s="138">
        <f>'Expenditures 15-22'!F60</f>
        <v>3834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5223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131</v>
      </c>
      <c r="D925" s="2" t="str">
        <f t="shared" si="13"/>
        <v>Error?</v>
      </c>
    </row>
    <row r="926" spans="1:4" x14ac:dyDescent="0.2">
      <c r="A926" s="10">
        <v>865</v>
      </c>
      <c r="D926" s="2" t="str">
        <f t="shared" si="13"/>
        <v>OK</v>
      </c>
    </row>
    <row r="927" spans="1:4" x14ac:dyDescent="0.2">
      <c r="A927" s="5">
        <v>866</v>
      </c>
      <c r="B927" s="138">
        <f>'Expenditures 15-22'!F72</f>
        <v>131</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317753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652540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35527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2727</v>
      </c>
      <c r="D955" s="2" t="str">
        <f t="shared" si="13"/>
        <v>Error?</v>
      </c>
    </row>
    <row r="956" spans="1:4" x14ac:dyDescent="0.2">
      <c r="A956" s="5">
        <v>895</v>
      </c>
      <c r="B956" s="138">
        <f>'Expenditures 15-22'!G39</f>
        <v>0</v>
      </c>
      <c r="D956" s="2" t="str">
        <f t="shared" si="13"/>
        <v>Error?</v>
      </c>
    </row>
    <row r="957" spans="1:4" x14ac:dyDescent="0.2">
      <c r="A957" s="5">
        <v>896</v>
      </c>
      <c r="B957" s="138">
        <f>'Expenditures 15-22'!G40</f>
        <v>7075</v>
      </c>
      <c r="D957" s="2" t="str">
        <f t="shared" si="13"/>
        <v>Error?</v>
      </c>
    </row>
    <row r="958" spans="1:4" x14ac:dyDescent="0.2">
      <c r="A958" s="5">
        <v>897</v>
      </c>
      <c r="B958" s="138">
        <f>'Expenditures 15-22'!G41</f>
        <v>0</v>
      </c>
      <c r="D958" s="2" t="str">
        <f t="shared" si="13"/>
        <v>Error?</v>
      </c>
    </row>
    <row r="959" spans="1:4" x14ac:dyDescent="0.2">
      <c r="A959" s="5">
        <v>898</v>
      </c>
      <c r="B959" s="138">
        <f>'Expenditures 15-22'!G42</f>
        <v>9802</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77431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77431</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87233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122760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1072111</v>
      </c>
      <c r="C1010" s="2" t="s">
        <v>594</v>
      </c>
      <c r="D1010" s="2" t="str">
        <f t="shared" si="14"/>
        <v>Error?</v>
      </c>
    </row>
    <row r="1011" spans="1:4" x14ac:dyDescent="0.2">
      <c r="A1011" s="5">
        <v>950</v>
      </c>
      <c r="B1011" s="138">
        <f>'Expenditures 15-22'!H36</f>
        <v>1751</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643</v>
      </c>
      <c r="D1013" s="2" t="str">
        <f t="shared" si="14"/>
        <v>Error?</v>
      </c>
    </row>
    <row r="1014" spans="1:4" x14ac:dyDescent="0.2">
      <c r="A1014" s="5">
        <v>953</v>
      </c>
      <c r="B1014" s="138">
        <f>'Expenditures 15-22'!H39</f>
        <v>224</v>
      </c>
      <c r="D1014" s="2" t="str">
        <f t="shared" si="14"/>
        <v>Error?</v>
      </c>
    </row>
    <row r="1015" spans="1:4" x14ac:dyDescent="0.2">
      <c r="A1015" s="5">
        <v>954</v>
      </c>
      <c r="B1015" s="138">
        <f>'Expenditures 15-22'!H40</f>
        <v>5035</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7653</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5347</v>
      </c>
      <c r="D1023" s="2" t="str">
        <f t="shared" ref="D1023:D1086" si="15">IF(ISBLANK(B1023),"OK",IF(A1023-B1023=0,"OK","Error?"))</f>
        <v>Error?</v>
      </c>
    </row>
    <row r="1024" spans="1:4" x14ac:dyDescent="0.2">
      <c r="A1024" s="5">
        <v>963</v>
      </c>
      <c r="B1024" s="138">
        <f>'Expenditures 15-22'!H53</f>
        <v>5347</v>
      </c>
      <c r="C1024" s="2" t="s">
        <v>594</v>
      </c>
      <c r="D1024" s="2" t="str">
        <f t="shared" si="15"/>
        <v>Error?</v>
      </c>
    </row>
    <row r="1025" spans="1:4" x14ac:dyDescent="0.2">
      <c r="A1025" s="5">
        <v>964</v>
      </c>
      <c r="B1025" s="138">
        <f>'Expenditures 15-22'!H55</f>
        <v>1919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1919</v>
      </c>
      <c r="C1027" s="2" t="s">
        <v>594</v>
      </c>
      <c r="D1027" s="2" t="str">
        <f t="shared" si="15"/>
        <v>Error?</v>
      </c>
    </row>
    <row r="1028" spans="1:4" x14ac:dyDescent="0.2">
      <c r="A1028" s="5">
        <v>967</v>
      </c>
      <c r="B1028" s="138">
        <f>'Expenditures 15-22'!H59</f>
        <v>1170</v>
      </c>
      <c r="D1028" s="2" t="str">
        <f t="shared" si="15"/>
        <v>Error?</v>
      </c>
    </row>
    <row r="1029" spans="1:4" x14ac:dyDescent="0.2">
      <c r="A1029" s="5">
        <v>968</v>
      </c>
      <c r="B1029" s="138">
        <f>'Expenditures 15-22'!H60</f>
        <v>150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1320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16239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11180054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12268404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1424981</v>
      </c>
      <c r="C1105" s="2" t="s">
        <v>594</v>
      </c>
      <c r="D1105" s="2" t="str">
        <f t="shared" si="16"/>
        <v>Error?</v>
      </c>
    </row>
    <row r="1106" spans="1:4" x14ac:dyDescent="0.2">
      <c r="A1106" s="5">
        <v>1045</v>
      </c>
      <c r="B1106" s="138">
        <f>'Expenditures 15-22'!K14</f>
        <v>13192</v>
      </c>
      <c r="C1106" s="2" t="s">
        <v>594</v>
      </c>
      <c r="D1106" s="2" t="str">
        <f t="shared" si="16"/>
        <v>Error?</v>
      </c>
    </row>
    <row r="1107" spans="1:4" x14ac:dyDescent="0.2">
      <c r="A1107" s="5">
        <v>1046</v>
      </c>
      <c r="B1107" s="138">
        <f>'Expenditures 15-22'!K15</f>
        <v>548225</v>
      </c>
      <c r="C1107" s="2" t="s">
        <v>594</v>
      </c>
      <c r="D1107" s="2" t="str">
        <f t="shared" si="16"/>
        <v>Error?</v>
      </c>
    </row>
    <row r="1108" spans="1:4" x14ac:dyDescent="0.2">
      <c r="A1108" s="5">
        <v>1047</v>
      </c>
      <c r="B1108" s="138">
        <f>'Expenditures 15-22'!K33</f>
        <v>25571051</v>
      </c>
      <c r="C1108" s="2" t="s">
        <v>594</v>
      </c>
      <c r="D1108" s="2" t="str">
        <f t="shared" si="16"/>
        <v>Error?</v>
      </c>
    </row>
    <row r="1109" spans="1:4" x14ac:dyDescent="0.2">
      <c r="A1109" s="5">
        <v>1048</v>
      </c>
      <c r="B1109" s="138">
        <f>'Expenditures 15-22'!K36</f>
        <v>2772090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5172744</v>
      </c>
      <c r="C1111" s="2" t="s">
        <v>594</v>
      </c>
      <c r="D1111" s="2" t="str">
        <f t="shared" si="16"/>
        <v>Error?</v>
      </c>
    </row>
    <row r="1112" spans="1:4" x14ac:dyDescent="0.2">
      <c r="A1112" s="5">
        <v>1051</v>
      </c>
      <c r="B1112" s="138">
        <f>'Expenditures 15-22'!K39</f>
        <v>1315182</v>
      </c>
      <c r="C1112" s="2" t="s">
        <v>594</v>
      </c>
      <c r="D1112" s="2" t="str">
        <f t="shared" si="16"/>
        <v>Error?</v>
      </c>
    </row>
    <row r="1113" spans="1:4" x14ac:dyDescent="0.2">
      <c r="A1113" s="5">
        <v>1052</v>
      </c>
      <c r="B1113" s="138">
        <f>'Expenditures 15-22'!K40</f>
        <v>3021386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12281402</v>
      </c>
      <c r="C1115" s="2" t="s">
        <v>594</v>
      </c>
      <c r="D1115" s="2" t="str">
        <f t="shared" si="16"/>
        <v>Error?</v>
      </c>
    </row>
    <row r="1116" spans="1:4" x14ac:dyDescent="0.2">
      <c r="A1116" s="5">
        <v>1055</v>
      </c>
      <c r="B1116" s="138">
        <f>'Expenditures 15-22'!K44</f>
        <v>692580</v>
      </c>
      <c r="C1116" s="2" t="s">
        <v>594</v>
      </c>
      <c r="D1116" s="2" t="str">
        <f t="shared" si="16"/>
        <v>Error?</v>
      </c>
    </row>
    <row r="1117" spans="1:4" x14ac:dyDescent="0.2">
      <c r="A1117" s="5">
        <v>1056</v>
      </c>
      <c r="B1117" s="138">
        <f>'Expenditures 15-22'!K45</f>
        <v>723365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1415945</v>
      </c>
      <c r="C1119" s="2" t="s">
        <v>594</v>
      </c>
      <c r="D1119" s="2" t="str">
        <f t="shared" si="16"/>
        <v>Error?</v>
      </c>
    </row>
    <row r="1120" spans="1:4" x14ac:dyDescent="0.2">
      <c r="A1120" s="5">
        <v>1059</v>
      </c>
      <c r="B1120" s="138">
        <f>'Expenditures 15-22'!K49</f>
        <v>745276</v>
      </c>
      <c r="C1120" s="2" t="s">
        <v>594</v>
      </c>
      <c r="D1120" s="2" t="str">
        <f t="shared" si="16"/>
        <v>Error?</v>
      </c>
    </row>
    <row r="1121" spans="1:4" x14ac:dyDescent="0.2">
      <c r="A1121" s="5">
        <v>1060</v>
      </c>
      <c r="B1121" s="138">
        <f>'Expenditures 15-22'!K50</f>
        <v>1123952</v>
      </c>
      <c r="C1121" s="2" t="s">
        <v>594</v>
      </c>
      <c r="D1121" s="2" t="str">
        <f t="shared" si="16"/>
        <v>Error?</v>
      </c>
    </row>
    <row r="1122" spans="1:4" x14ac:dyDescent="0.2">
      <c r="A1122" s="5">
        <v>1061</v>
      </c>
      <c r="B1122" s="138">
        <f>'Expenditures 15-22'!K53</f>
        <v>1869228</v>
      </c>
      <c r="C1122" s="2" t="s">
        <v>594</v>
      </c>
      <c r="D1122" s="2" t="str">
        <f t="shared" si="16"/>
        <v>Error?</v>
      </c>
    </row>
    <row r="1123" spans="1:4" x14ac:dyDescent="0.2">
      <c r="A1123" s="5">
        <v>1062</v>
      </c>
      <c r="B1123" s="138">
        <f>'Expenditures 15-22'!K55</f>
        <v>2649308</v>
      </c>
      <c r="C1123" s="2" t="s">
        <v>594</v>
      </c>
      <c r="D1123" s="2" t="str">
        <f t="shared" si="16"/>
        <v>Error?</v>
      </c>
    </row>
    <row r="1124" spans="1:4" x14ac:dyDescent="0.2">
      <c r="A1124" s="5">
        <v>1063</v>
      </c>
      <c r="B1124" s="138">
        <f>'Expenditures 15-22'!K56</f>
        <v>66413</v>
      </c>
      <c r="C1124" s="2" t="s">
        <v>594</v>
      </c>
      <c r="D1124" s="2" t="str">
        <f t="shared" si="16"/>
        <v>Error?</v>
      </c>
    </row>
    <row r="1125" spans="1:4" x14ac:dyDescent="0.2">
      <c r="A1125" s="5">
        <v>1064</v>
      </c>
      <c r="B1125" s="138">
        <f>'Expenditures 15-22'!K57</f>
        <v>2715721</v>
      </c>
      <c r="C1125" s="2" t="s">
        <v>594</v>
      </c>
      <c r="D1125" s="2" t="str">
        <f t="shared" si="16"/>
        <v>Error?</v>
      </c>
    </row>
    <row r="1126" spans="1:4" x14ac:dyDescent="0.2">
      <c r="A1126" s="5">
        <v>1065</v>
      </c>
      <c r="B1126" s="138">
        <f>'Expenditures 15-22'!K59</f>
        <v>245404</v>
      </c>
      <c r="C1126" s="2" t="s">
        <v>594</v>
      </c>
      <c r="D1126" s="2" t="str">
        <f t="shared" si="16"/>
        <v>Error?</v>
      </c>
    </row>
    <row r="1127" spans="1:4" x14ac:dyDescent="0.2">
      <c r="A1127" s="5">
        <v>1066</v>
      </c>
      <c r="B1127" s="138">
        <f>'Expenditures 15-22'!K60</f>
        <v>411198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215372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871974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127621</v>
      </c>
      <c r="C1139" s="2" t="s">
        <v>594</v>
      </c>
      <c r="D1139" s="2" t="str">
        <f t="shared" si="16"/>
        <v>Error?</v>
      </c>
    </row>
    <row r="1140" spans="1:4" x14ac:dyDescent="0.2">
      <c r="A1140" s="10">
        <v>1079</v>
      </c>
      <c r="D1140" s="2" t="str">
        <f t="shared" si="16"/>
        <v>OK</v>
      </c>
    </row>
    <row r="1141" spans="1:4" x14ac:dyDescent="0.2">
      <c r="A1141" s="5">
        <v>1080</v>
      </c>
      <c r="B1141" s="138">
        <f>'Expenditures 15-22'!K72</f>
        <v>127621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19281891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11355967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56208909</v>
      </c>
      <c r="C1152" s="2" t="s">
        <v>594</v>
      </c>
      <c r="D1152" s="2" t="str">
        <f t="shared" si="17"/>
        <v>Error?</v>
      </c>
    </row>
    <row r="1153" spans="1:4" x14ac:dyDescent="0.2">
      <c r="A1153" s="5">
        <v>1092</v>
      </c>
      <c r="B1153" s="138">
        <f>'Expenditures 15-22'!K115</f>
        <v>1795239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828410</v>
      </c>
      <c r="D1221" s="2" t="str">
        <f t="shared" si="18"/>
        <v>Error?</v>
      </c>
    </row>
    <row r="1222" spans="1:4" x14ac:dyDescent="0.2">
      <c r="A1222" s="10">
        <v>1161</v>
      </c>
      <c r="D1222" s="2" t="str">
        <f t="shared" si="18"/>
        <v>OK</v>
      </c>
    </row>
    <row r="1223" spans="1:4" x14ac:dyDescent="0.2">
      <c r="A1223" s="5">
        <v>1162</v>
      </c>
      <c r="B1223" s="138">
        <f>'Expenditures 15-22'!C127</f>
        <v>828410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828410</v>
      </c>
      <c r="C1225" s="2" t="s">
        <v>594</v>
      </c>
      <c r="D1225" s="2" t="str">
        <f t="shared" si="18"/>
        <v>Error?</v>
      </c>
    </row>
    <row r="1226" spans="1:4" x14ac:dyDescent="0.2">
      <c r="A1226" s="5">
        <v>1165</v>
      </c>
      <c r="B1226" s="138">
        <f>'Expenditures 15-22'!C151</f>
        <v>828410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237464</v>
      </c>
      <c r="D1229" s="2" t="str">
        <f t="shared" si="18"/>
        <v>Error?</v>
      </c>
    </row>
    <row r="1230" spans="1:4" x14ac:dyDescent="0.2">
      <c r="A1230" s="10">
        <v>1169</v>
      </c>
      <c r="D1230" s="2" t="str">
        <f t="shared" si="18"/>
        <v>OK</v>
      </c>
    </row>
    <row r="1231" spans="1:4" x14ac:dyDescent="0.2">
      <c r="A1231" s="5">
        <v>1170</v>
      </c>
      <c r="B1231" s="138">
        <f>'Expenditures 15-22'!D127</f>
        <v>237464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237464</v>
      </c>
      <c r="C1233" s="2" t="s">
        <v>594</v>
      </c>
      <c r="D1233" s="2" t="str">
        <f t="shared" si="18"/>
        <v>Error?</v>
      </c>
    </row>
    <row r="1234" spans="1:4" x14ac:dyDescent="0.2">
      <c r="A1234" s="5">
        <v>1173</v>
      </c>
      <c r="B1234" s="138">
        <f>'Expenditures 15-22'!D151</f>
        <v>237464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722952</v>
      </c>
      <c r="D1237" s="2" t="str">
        <f t="shared" si="18"/>
        <v>Error?</v>
      </c>
    </row>
    <row r="1238" spans="1:4" x14ac:dyDescent="0.2">
      <c r="A1238" s="10">
        <v>1177</v>
      </c>
      <c r="D1238" s="2" t="str">
        <f t="shared" si="18"/>
        <v>OK</v>
      </c>
    </row>
    <row r="1239" spans="1:4" x14ac:dyDescent="0.2">
      <c r="A1239" s="5">
        <v>1178</v>
      </c>
      <c r="B1239" s="138">
        <f>'Expenditures 15-22'!E127</f>
        <v>722952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722952</v>
      </c>
      <c r="C1241" s="2" t="s">
        <v>594</v>
      </c>
      <c r="D1241" s="2" t="str">
        <f t="shared" si="18"/>
        <v>Error?</v>
      </c>
    </row>
    <row r="1242" spans="1:4" x14ac:dyDescent="0.2">
      <c r="A1242" s="5">
        <v>1181</v>
      </c>
      <c r="B1242" s="138">
        <f>'Expenditures 15-22'!E151</f>
        <v>722952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550933</v>
      </c>
      <c r="D1245" s="2" t="str">
        <f t="shared" si="18"/>
        <v>Error?</v>
      </c>
    </row>
    <row r="1246" spans="1:4" x14ac:dyDescent="0.2">
      <c r="A1246" s="10">
        <v>1185</v>
      </c>
      <c r="D1246" s="2" t="str">
        <f t="shared" si="18"/>
        <v>OK</v>
      </c>
    </row>
    <row r="1247" spans="1:4" x14ac:dyDescent="0.2">
      <c r="A1247" s="5">
        <v>1186</v>
      </c>
      <c r="B1247" s="138">
        <f>'Expenditures 15-22'!F127</f>
        <v>550933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550933</v>
      </c>
      <c r="C1249" s="2" t="s">
        <v>594</v>
      </c>
      <c r="D1249" s="2" t="str">
        <f t="shared" si="18"/>
        <v>Error?</v>
      </c>
    </row>
    <row r="1250" spans="1:4" x14ac:dyDescent="0.2">
      <c r="A1250" s="5">
        <v>1189</v>
      </c>
      <c r="B1250" s="138">
        <f>'Expenditures 15-22'!F151</f>
        <v>550933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3171918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3171918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3171918</v>
      </c>
      <c r="C1258" s="2" t="s">
        <v>594</v>
      </c>
      <c r="D1258" s="2" t="str">
        <f t="shared" si="18"/>
        <v>Error?</v>
      </c>
    </row>
    <row r="1259" spans="1:4" x14ac:dyDescent="0.2">
      <c r="A1259" s="5">
        <v>1198</v>
      </c>
      <c r="B1259" s="138">
        <f>'Expenditures 15-22'!G151</f>
        <v>3171918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75</v>
      </c>
      <c r="D1262" s="2" t="str">
        <f t="shared" si="18"/>
        <v>Error?</v>
      </c>
    </row>
    <row r="1263" spans="1:4" x14ac:dyDescent="0.2">
      <c r="A1263" s="10">
        <v>1202</v>
      </c>
      <c r="D1263" s="2" t="str">
        <f t="shared" si="18"/>
        <v>OK</v>
      </c>
    </row>
    <row r="1264" spans="1:4" x14ac:dyDescent="0.2">
      <c r="A1264" s="5">
        <v>1203</v>
      </c>
      <c r="B1264" s="138">
        <f>'Expenditures 15-22'!H127</f>
        <v>75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5529979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5529979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5529979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5529979</v>
      </c>
      <c r="C1288" s="2" t="s">
        <v>594</v>
      </c>
      <c r="D1288" s="2" t="str">
        <f t="shared" si="19"/>
        <v>Error?</v>
      </c>
    </row>
    <row r="1289" spans="1:4" x14ac:dyDescent="0.2">
      <c r="A1289" s="5">
        <v>1228</v>
      </c>
      <c r="B1289" s="138">
        <f>'Expenditures 15-22'!K152</f>
        <v>-2800985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164500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660000</v>
      </c>
      <c r="D1315" s="2" t="str">
        <f t="shared" si="19"/>
        <v>Error?</v>
      </c>
    </row>
    <row r="1316" spans="1:4" x14ac:dyDescent="0.2">
      <c r="A1316" s="5">
        <v>1255</v>
      </c>
      <c r="B1316" s="138">
        <f>'Expenditures 15-22'!H171</f>
        <v>350</v>
      </c>
      <c r="D1316" s="2" t="str">
        <f t="shared" si="19"/>
        <v>Error?</v>
      </c>
    </row>
    <row r="1317" spans="1:4" x14ac:dyDescent="0.2">
      <c r="A1317" s="5">
        <v>1256</v>
      </c>
      <c r="B1317" s="138">
        <f>'Expenditures 15-22'!H172</f>
        <v>824850</v>
      </c>
      <c r="C1317" s="2" t="s">
        <v>594</v>
      </c>
      <c r="D1317" s="2" t="str">
        <f t="shared" si="19"/>
        <v>Error?</v>
      </c>
    </row>
    <row r="1318" spans="1:4" x14ac:dyDescent="0.2">
      <c r="A1318" s="5">
        <v>1257</v>
      </c>
      <c r="B1318" s="138">
        <f>'Expenditures 15-22'!H174</f>
        <v>824850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164500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660000</v>
      </c>
      <c r="C1329" s="2" t="s">
        <v>594</v>
      </c>
      <c r="D1329" s="2" t="str">
        <f t="shared" si="19"/>
        <v>Error?</v>
      </c>
    </row>
    <row r="1330" spans="1:4" x14ac:dyDescent="0.2">
      <c r="A1330" s="5">
        <v>1269</v>
      </c>
      <c r="B1330" s="138">
        <f>'Expenditures 15-22'!K171</f>
        <v>350</v>
      </c>
      <c r="C1330" s="2" t="s">
        <v>594</v>
      </c>
      <c r="D1330" s="2" t="str">
        <f t="shared" si="19"/>
        <v>Error?</v>
      </c>
    </row>
    <row r="1331" spans="1:4" x14ac:dyDescent="0.2">
      <c r="A1331" s="5">
        <v>1270</v>
      </c>
      <c r="B1331" s="138">
        <f>'Expenditures 15-22'!K172</f>
        <v>824850</v>
      </c>
      <c r="C1331" s="2" t="s">
        <v>594</v>
      </c>
      <c r="D1331" s="2" t="str">
        <f t="shared" si="19"/>
        <v>Error?</v>
      </c>
    </row>
    <row r="1332" spans="1:4" x14ac:dyDescent="0.2">
      <c r="A1332" s="5">
        <v>1271</v>
      </c>
      <c r="B1332" s="138">
        <f>'Expenditures 15-22'!K174</f>
        <v>824850</v>
      </c>
      <c r="C1332" s="2" t="s">
        <v>594</v>
      </c>
      <c r="D1332" s="2" t="str">
        <f t="shared" si="19"/>
        <v>Error?</v>
      </c>
    </row>
    <row r="1333" spans="1:4" x14ac:dyDescent="0.2">
      <c r="A1333" s="5">
        <v>1272</v>
      </c>
      <c r="B1333" s="138">
        <f>'Expenditures 15-22'!K175</f>
        <v>1256</v>
      </c>
      <c r="C1333" s="2" t="s">
        <v>594</v>
      </c>
      <c r="D1333" s="2" t="str">
        <f t="shared" si="19"/>
        <v>Error?</v>
      </c>
    </row>
    <row r="1334" spans="1:4" x14ac:dyDescent="0.2">
      <c r="A1334" s="10">
        <v>1273</v>
      </c>
      <c r="D1334" s="2" t="str">
        <f t="shared" si="19"/>
        <v>OK</v>
      </c>
    </row>
    <row r="1335" spans="1:4" x14ac:dyDescent="0.2">
      <c r="A1335" s="5">
        <v>1274</v>
      </c>
      <c r="B1335" s="138">
        <f>'Expenditures 15-22'!C182</f>
        <v>70578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70578</v>
      </c>
      <c r="C1339" s="2" t="s">
        <v>594</v>
      </c>
      <c r="D1339" s="2" t="str">
        <f t="shared" si="19"/>
        <v>Error?</v>
      </c>
    </row>
    <row r="1340" spans="1:4" x14ac:dyDescent="0.2">
      <c r="A1340" s="5">
        <v>1279</v>
      </c>
      <c r="B1340" s="138">
        <f>'Expenditures 15-22'!C210</f>
        <v>70578</v>
      </c>
      <c r="C1340" s="2" t="s">
        <v>594</v>
      </c>
      <c r="D1340" s="2" t="str">
        <f t="shared" si="19"/>
        <v>Error?</v>
      </c>
    </row>
    <row r="1341" spans="1:4" x14ac:dyDescent="0.2">
      <c r="A1341" s="5">
        <v>1280</v>
      </c>
      <c r="B1341" s="138">
        <f>'Expenditures 15-22'!D182</f>
        <v>23072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23072</v>
      </c>
      <c r="C1345" s="2" t="s">
        <v>594</v>
      </c>
      <c r="D1345" s="2" t="str">
        <f t="shared" si="20"/>
        <v>Error?</v>
      </c>
    </row>
    <row r="1346" spans="1:4" x14ac:dyDescent="0.2">
      <c r="A1346" s="5">
        <v>1285</v>
      </c>
      <c r="B1346" s="138">
        <f>'Expenditures 15-22'!D210</f>
        <v>23072</v>
      </c>
      <c r="C1346" s="2" t="s">
        <v>594</v>
      </c>
      <c r="D1346" s="2" t="str">
        <f t="shared" si="20"/>
        <v>Error?</v>
      </c>
    </row>
    <row r="1347" spans="1:4" x14ac:dyDescent="0.2">
      <c r="A1347" s="5">
        <v>1286</v>
      </c>
      <c r="B1347" s="138">
        <f>'Expenditures 15-22'!E182</f>
        <v>1158592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1158592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1158592</v>
      </c>
      <c r="C1353" s="2" t="s">
        <v>594</v>
      </c>
      <c r="D1353" s="2" t="str">
        <f t="shared" si="20"/>
        <v>Error?</v>
      </c>
    </row>
    <row r="1354" spans="1:4" x14ac:dyDescent="0.2">
      <c r="A1354" s="5">
        <v>1293</v>
      </c>
      <c r="B1354" s="138">
        <f>'Expenditures 15-22'!F182</f>
        <v>5972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5972</v>
      </c>
      <c r="C1358" s="2" t="s">
        <v>594</v>
      </c>
      <c r="D1358" s="2" t="str">
        <f t="shared" si="20"/>
        <v>Error?</v>
      </c>
    </row>
    <row r="1359" spans="1:4" x14ac:dyDescent="0.2">
      <c r="A1359" s="5">
        <v>1298</v>
      </c>
      <c r="B1359" s="138">
        <f>'Expenditures 15-22'!F210</f>
        <v>5972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1258214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1258214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1258214</v>
      </c>
      <c r="C1388" s="2" t="s">
        <v>594</v>
      </c>
      <c r="D1388" s="2" t="str">
        <f t="shared" si="20"/>
        <v>Error?</v>
      </c>
    </row>
    <row r="1389" spans="1:4" x14ac:dyDescent="0.2">
      <c r="A1389" s="5">
        <v>1328</v>
      </c>
      <c r="B1389" s="138">
        <f>'Expenditures 15-22'!K211</f>
        <v>-483308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107347</v>
      </c>
      <c r="D1407" s="2" t="str">
        <f t="shared" ref="D1407:D1470" si="21">IF(ISBLANK(B1407),"OK",IF(A1407-B1407=0,"OK","Error?"))</f>
        <v>Error?</v>
      </c>
    </row>
    <row r="1408" spans="1:4" x14ac:dyDescent="0.2">
      <c r="A1408" s="5">
        <v>1347</v>
      </c>
      <c r="B1408" s="138">
        <f>'Expenditures 15-22'!D223</f>
        <v>1550</v>
      </c>
      <c r="D1408" s="2" t="str">
        <f t="shared" si="21"/>
        <v>Error?</v>
      </c>
    </row>
    <row r="1409" spans="1:4" x14ac:dyDescent="0.2">
      <c r="A1409" s="5">
        <v>1348</v>
      </c>
      <c r="B1409" s="138">
        <f>'Expenditures 15-22'!D224</f>
        <v>19063</v>
      </c>
      <c r="D1409" s="2" t="str">
        <f t="shared" si="21"/>
        <v>Error?</v>
      </c>
    </row>
    <row r="1410" spans="1:4" x14ac:dyDescent="0.2">
      <c r="A1410" s="5">
        <v>1349</v>
      </c>
      <c r="B1410" s="138">
        <f>'Expenditures 15-22'!D229</f>
        <v>786383</v>
      </c>
      <c r="C1410" s="2" t="s">
        <v>594</v>
      </c>
      <c r="D1410" s="2" t="str">
        <f t="shared" si="21"/>
        <v>Error?</v>
      </c>
    </row>
    <row r="1411" spans="1:4" x14ac:dyDescent="0.2">
      <c r="A1411" s="5">
        <v>1350</v>
      </c>
      <c r="B1411" s="138">
        <f>'Expenditures 15-22'!D232</f>
        <v>14246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499177</v>
      </c>
      <c r="D1413" s="2" t="str">
        <f t="shared" si="21"/>
        <v>Error?</v>
      </c>
    </row>
    <row r="1414" spans="1:4" x14ac:dyDescent="0.2">
      <c r="A1414" s="5">
        <v>1353</v>
      </c>
      <c r="B1414" s="138">
        <f>'Expenditures 15-22'!D235</f>
        <v>4305</v>
      </c>
      <c r="D1414" s="2" t="str">
        <f t="shared" si="21"/>
        <v>Error?</v>
      </c>
    </row>
    <row r="1415" spans="1:4" x14ac:dyDescent="0.2">
      <c r="A1415" s="5">
        <v>1354</v>
      </c>
      <c r="B1415" s="138">
        <f>'Expenditures 15-22'!D236</f>
        <v>83558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601286</v>
      </c>
      <c r="C1417" s="2" t="s">
        <v>594</v>
      </c>
      <c r="D1417" s="2" t="str">
        <f t="shared" si="21"/>
        <v>Error?</v>
      </c>
    </row>
    <row r="1418" spans="1:4" x14ac:dyDescent="0.2">
      <c r="A1418" s="5">
        <v>1357</v>
      </c>
      <c r="B1418" s="138">
        <f>'Expenditures 15-22'!D240</f>
        <v>13582</v>
      </c>
      <c r="D1418" s="2" t="str">
        <f t="shared" si="21"/>
        <v>Error?</v>
      </c>
    </row>
    <row r="1419" spans="1:4" x14ac:dyDescent="0.2">
      <c r="A1419" s="5">
        <v>1358</v>
      </c>
      <c r="B1419" s="138">
        <f>'Expenditures 15-22'!D241</f>
        <v>14872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28454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35069</v>
      </c>
      <c r="D1423" s="2" t="str">
        <f t="shared" si="21"/>
        <v>Error?</v>
      </c>
    </row>
    <row r="1424" spans="1:4" x14ac:dyDescent="0.2">
      <c r="A1424" s="5">
        <v>1363</v>
      </c>
      <c r="B1424" s="138">
        <f>'Expenditures 15-22'!D257</f>
        <v>35069</v>
      </c>
      <c r="C1424" s="2" t="s">
        <v>594</v>
      </c>
      <c r="D1424" s="2" t="str">
        <f t="shared" si="21"/>
        <v>Error?</v>
      </c>
    </row>
    <row r="1425" spans="1:4" x14ac:dyDescent="0.2">
      <c r="A1425" s="5">
        <v>1364</v>
      </c>
      <c r="B1425" s="138">
        <f>'Expenditures 15-22'!D259</f>
        <v>48717</v>
      </c>
      <c r="D1425" s="2" t="str">
        <f t="shared" si="21"/>
        <v>Error?</v>
      </c>
    </row>
    <row r="1426" spans="1:4" x14ac:dyDescent="0.2">
      <c r="A1426" s="5">
        <v>1365</v>
      </c>
      <c r="B1426" s="138">
        <f>'Expenditures 15-22'!D260</f>
        <v>6776</v>
      </c>
      <c r="D1426" s="2" t="str">
        <f t="shared" si="21"/>
        <v>Error?</v>
      </c>
    </row>
    <row r="1427" spans="1:4" x14ac:dyDescent="0.2">
      <c r="A1427" s="5">
        <v>1366</v>
      </c>
      <c r="B1427" s="138">
        <f>'Expenditures 15-22'!D261</f>
        <v>55493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39734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105322</v>
      </c>
      <c r="D1431" s="2" t="str">
        <f t="shared" si="21"/>
        <v>Error?</v>
      </c>
    </row>
    <row r="1432" spans="1:4" x14ac:dyDescent="0.2">
      <c r="A1432" s="5">
        <v>1371</v>
      </c>
      <c r="B1432" s="138">
        <f>'Expenditures 15-22'!D267</f>
        <v>9040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154096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7009</v>
      </c>
      <c r="D1442" s="2" t="str">
        <f t="shared" si="21"/>
        <v>Error?</v>
      </c>
    </row>
    <row r="1443" spans="1:4" x14ac:dyDescent="0.2">
      <c r="A1443" s="10">
        <v>1382</v>
      </c>
      <c r="D1443" s="2" t="str">
        <f t="shared" si="21"/>
        <v>OK</v>
      </c>
    </row>
    <row r="1444" spans="1:4" x14ac:dyDescent="0.2">
      <c r="A1444" s="5">
        <v>1383</v>
      </c>
      <c r="B1444" s="138">
        <f>'Expenditures 15-22'!D277</f>
        <v>7009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881407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1667790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107347</v>
      </c>
      <c r="C1471" s="2" t="s">
        <v>594</v>
      </c>
      <c r="D1471" s="2" t="str">
        <f t="shared" ref="D1471:D1534" si="22">IF(ISBLANK(B1471),"OK",IF(A1471-B1471=0,"OK","Error?"))</f>
        <v>Error?</v>
      </c>
    </row>
    <row r="1472" spans="1:4" x14ac:dyDescent="0.2">
      <c r="A1472" s="5">
        <v>1411</v>
      </c>
      <c r="B1472" s="138">
        <f>'Expenditures 15-22'!K223</f>
        <v>1550</v>
      </c>
      <c r="C1472" s="2" t="s">
        <v>594</v>
      </c>
      <c r="D1472" s="2" t="str">
        <f t="shared" si="22"/>
        <v>Error?</v>
      </c>
    </row>
    <row r="1473" spans="1:4" x14ac:dyDescent="0.2">
      <c r="A1473" s="5">
        <v>1412</v>
      </c>
      <c r="B1473" s="138">
        <f>'Expenditures 15-22'!K224</f>
        <v>19063</v>
      </c>
      <c r="C1473" s="2" t="s">
        <v>594</v>
      </c>
      <c r="D1473" s="2" t="str">
        <f t="shared" si="22"/>
        <v>Error?</v>
      </c>
    </row>
    <row r="1474" spans="1:4" x14ac:dyDescent="0.2">
      <c r="A1474" s="5">
        <v>1413</v>
      </c>
      <c r="B1474" s="138">
        <f>'Expenditures 15-22'!K229</f>
        <v>786383</v>
      </c>
      <c r="C1474" s="2" t="s">
        <v>594</v>
      </c>
      <c r="D1474" s="2" t="str">
        <f t="shared" si="22"/>
        <v>Error?</v>
      </c>
    </row>
    <row r="1475" spans="1:4" x14ac:dyDescent="0.2">
      <c r="A1475" s="5">
        <v>1414</v>
      </c>
      <c r="B1475" s="138">
        <f>'Expenditures 15-22'!K232</f>
        <v>14246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499177</v>
      </c>
      <c r="C1477" s="2" t="s">
        <v>594</v>
      </c>
      <c r="D1477" s="2" t="str">
        <f t="shared" si="22"/>
        <v>Error?</v>
      </c>
    </row>
    <row r="1478" spans="1:4" x14ac:dyDescent="0.2">
      <c r="A1478" s="5">
        <v>1417</v>
      </c>
      <c r="B1478" s="138">
        <f>'Expenditures 15-22'!K235</f>
        <v>4305</v>
      </c>
      <c r="C1478" s="2" t="s">
        <v>594</v>
      </c>
      <c r="D1478" s="2" t="str">
        <f t="shared" si="22"/>
        <v>Error?</v>
      </c>
    </row>
    <row r="1479" spans="1:4" x14ac:dyDescent="0.2">
      <c r="A1479" s="5">
        <v>1418</v>
      </c>
      <c r="B1479" s="138">
        <f>'Expenditures 15-22'!K236</f>
        <v>83558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601286</v>
      </c>
      <c r="C1481" s="2" t="s">
        <v>594</v>
      </c>
      <c r="D1481" s="2" t="str">
        <f t="shared" si="22"/>
        <v>Error?</v>
      </c>
    </row>
    <row r="1482" spans="1:4" x14ac:dyDescent="0.2">
      <c r="A1482" s="5">
        <v>1421</v>
      </c>
      <c r="B1482" s="138">
        <f>'Expenditures 15-22'!K240</f>
        <v>13582</v>
      </c>
      <c r="C1482" s="2" t="s">
        <v>594</v>
      </c>
      <c r="D1482" s="2" t="str">
        <f t="shared" si="22"/>
        <v>Error?</v>
      </c>
    </row>
    <row r="1483" spans="1:4" x14ac:dyDescent="0.2">
      <c r="A1483" s="5">
        <v>1422</v>
      </c>
      <c r="B1483" s="138">
        <f>'Expenditures 15-22'!K241</f>
        <v>14872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28454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35069</v>
      </c>
      <c r="C1487" s="2" t="s">
        <v>594</v>
      </c>
      <c r="D1487" s="2" t="str">
        <f t="shared" si="22"/>
        <v>Error?</v>
      </c>
    </row>
    <row r="1488" spans="1:4" x14ac:dyDescent="0.2">
      <c r="A1488" s="5">
        <v>1427</v>
      </c>
      <c r="B1488" s="138">
        <f>'Expenditures 15-22'!K257</f>
        <v>35069</v>
      </c>
      <c r="C1488" s="2" t="s">
        <v>594</v>
      </c>
      <c r="D1488" s="2" t="str">
        <f t="shared" si="22"/>
        <v>Error?</v>
      </c>
    </row>
    <row r="1489" spans="1:4" x14ac:dyDescent="0.2">
      <c r="A1489" s="5">
        <v>1428</v>
      </c>
      <c r="B1489" s="138">
        <f>'Expenditures 15-22'!K259</f>
        <v>48717</v>
      </c>
      <c r="C1489" s="2" t="s">
        <v>594</v>
      </c>
      <c r="D1489" s="2" t="str">
        <f t="shared" si="22"/>
        <v>Error?</v>
      </c>
    </row>
    <row r="1490" spans="1:4" x14ac:dyDescent="0.2">
      <c r="A1490" s="5">
        <v>1429</v>
      </c>
      <c r="B1490" s="138">
        <f>'Expenditures 15-22'!K260</f>
        <v>6776</v>
      </c>
      <c r="C1490" s="2" t="s">
        <v>594</v>
      </c>
      <c r="D1490" s="2" t="str">
        <f t="shared" si="22"/>
        <v>Error?</v>
      </c>
    </row>
    <row r="1491" spans="1:4" x14ac:dyDescent="0.2">
      <c r="A1491" s="5">
        <v>1430</v>
      </c>
      <c r="B1491" s="138">
        <f>'Expenditures 15-22'!K261</f>
        <v>55493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39734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105322</v>
      </c>
      <c r="C1495" s="2" t="s">
        <v>594</v>
      </c>
      <c r="D1495" s="2" t="str">
        <f t="shared" si="22"/>
        <v>Error?</v>
      </c>
    </row>
    <row r="1496" spans="1:4" x14ac:dyDescent="0.2">
      <c r="A1496" s="5">
        <v>1435</v>
      </c>
      <c r="B1496" s="138">
        <f>'Expenditures 15-22'!K267</f>
        <v>9040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154096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7009</v>
      </c>
      <c r="C1506" s="2" t="s">
        <v>594</v>
      </c>
      <c r="D1506" s="2" t="str">
        <f t="shared" si="22"/>
        <v>Error?</v>
      </c>
    </row>
    <row r="1507" spans="1:4" x14ac:dyDescent="0.2">
      <c r="A1507" s="10">
        <v>1446</v>
      </c>
      <c r="D1507" s="2" t="str">
        <f t="shared" si="22"/>
        <v>OK</v>
      </c>
    </row>
    <row r="1508" spans="1:4" x14ac:dyDescent="0.2">
      <c r="A1508" s="5">
        <v>1447</v>
      </c>
      <c r="B1508" s="138">
        <f>'Expenditures 15-22'!K277</f>
        <v>7009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881407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1667790</v>
      </c>
      <c r="C1517" s="2" t="s">
        <v>594</v>
      </c>
      <c r="D1517" s="2" t="str">
        <f t="shared" si="22"/>
        <v>Error?</v>
      </c>
    </row>
    <row r="1518" spans="1:4" x14ac:dyDescent="0.2">
      <c r="A1518" s="5">
        <v>1457</v>
      </c>
      <c r="B1518" s="138">
        <f>'Expenditures 15-22'!K296</f>
        <v>-36402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37553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37553</v>
      </c>
      <c r="C1535" s="2" t="s">
        <v>594</v>
      </c>
      <c r="D1535" s="2" t="str">
        <f t="shared" ref="D1535:D1598" si="23">IF(ISBLANK(B1535),"OK",IF(A1535-B1535=0,"OK","Error?"))</f>
        <v>Error?</v>
      </c>
    </row>
    <row r="1536" spans="1:4" x14ac:dyDescent="0.2">
      <c r="A1536" s="5">
        <v>1475</v>
      </c>
      <c r="B1536" s="138">
        <f>'Expenditures 15-22'!E312</f>
        <v>37553</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39600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39600</v>
      </c>
      <c r="C1547" s="2" t="s">
        <v>594</v>
      </c>
      <c r="D1547" s="2" t="str">
        <f t="shared" si="23"/>
        <v>Error?</v>
      </c>
    </row>
    <row r="1548" spans="1:4" x14ac:dyDescent="0.2">
      <c r="A1548" s="5">
        <v>1487</v>
      </c>
      <c r="B1548" s="138">
        <f>'Expenditures 15-22'!G312</f>
        <v>39600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77153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77153</v>
      </c>
      <c r="C1559" s="2" t="s">
        <v>594</v>
      </c>
      <c r="D1559" s="2" t="str">
        <f t="shared" si="23"/>
        <v>Error?</v>
      </c>
    </row>
    <row r="1560" spans="1:4" x14ac:dyDescent="0.2">
      <c r="A1560" s="5">
        <v>1499</v>
      </c>
      <c r="B1560" s="138">
        <f>'Expenditures 15-22'!K312</f>
        <v>77153</v>
      </c>
      <c r="C1560" s="2" t="s">
        <v>594</v>
      </c>
      <c r="D1560" s="2" t="str">
        <f t="shared" si="23"/>
        <v>Error?</v>
      </c>
    </row>
    <row r="1561" spans="1:4" x14ac:dyDescent="0.2">
      <c r="A1561" s="5">
        <v>1500</v>
      </c>
      <c r="B1561" s="138">
        <f>'Expenditures 15-22'!K313</f>
        <v>-46712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10173786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10409025</v>
      </c>
      <c r="C1630" s="2" t="s">
        <v>594</v>
      </c>
      <c r="D1630" s="2" t="str">
        <f t="shared" si="24"/>
        <v>Error?</v>
      </c>
    </row>
    <row r="1631" spans="1:4" x14ac:dyDescent="0.2">
      <c r="A1631" s="5">
        <v>1570</v>
      </c>
      <c r="B1631" s="138">
        <f>'Acct Summary 7-8'!D79</f>
        <v>4059595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2558610</v>
      </c>
      <c r="C1644" s="2" t="s">
        <v>594</v>
      </c>
      <c r="D1644" s="2" t="str">
        <f t="shared" si="24"/>
        <v>Error?</v>
      </c>
    </row>
    <row r="1645" spans="1:4" x14ac:dyDescent="0.2">
      <c r="A1645" s="5">
        <v>1584</v>
      </c>
      <c r="B1645" s="138">
        <f>'Acct Summary 7-8'!E79</f>
        <v>167321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168577</v>
      </c>
      <c r="C1658" s="2" t="s">
        <v>594</v>
      </c>
      <c r="D1658" s="2" t="str">
        <f t="shared" si="24"/>
        <v>Error?</v>
      </c>
    </row>
    <row r="1659" spans="1:4" x14ac:dyDescent="0.2">
      <c r="A1659" s="5">
        <v>1598</v>
      </c>
      <c r="B1659" s="138">
        <f>'Acct Summary 7-8'!F79</f>
        <v>509018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285710</v>
      </c>
      <c r="C1672" s="2" t="s">
        <v>594</v>
      </c>
      <c r="D1672" s="2" t="str">
        <f t="shared" si="25"/>
        <v>Error?</v>
      </c>
    </row>
    <row r="1673" spans="1:4" x14ac:dyDescent="0.2">
      <c r="A1673" s="5">
        <v>1612</v>
      </c>
      <c r="B1673" s="138">
        <f>'Acct Summary 7-8'!G79</f>
        <v>1483711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1447309</v>
      </c>
      <c r="C1686" s="2" t="s">
        <v>594</v>
      </c>
      <c r="D1686" s="2" t="str">
        <f t="shared" si="25"/>
        <v>Error?</v>
      </c>
    </row>
    <row r="1687" spans="1:4" x14ac:dyDescent="0.2">
      <c r="A1687" s="5">
        <v>1626</v>
      </c>
      <c r="B1687" s="138">
        <f>'Acct Summary 7-8'!H79</f>
        <v>46712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4120000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1260625</v>
      </c>
      <c r="D2008" s="2" t="str">
        <f t="shared" si="30"/>
        <v>Error?</v>
      </c>
    </row>
    <row r="2009" spans="1:4" x14ac:dyDescent="0.2">
      <c r="A2009" s="5">
        <v>1948</v>
      </c>
      <c r="B2009" s="138">
        <f>'Cap Outlay Deprec 26'!C8</f>
        <v>42512715</v>
      </c>
      <c r="D2009" s="2" t="str">
        <f t="shared" si="30"/>
        <v>Error?</v>
      </c>
    </row>
    <row r="2010" spans="1:4" x14ac:dyDescent="0.2">
      <c r="A2010" s="5">
        <v>1949</v>
      </c>
      <c r="B2010" s="138">
        <f>'Cap Outlay Deprec 26'!C10</f>
        <v>2566978</v>
      </c>
      <c r="D2010" s="2" t="str">
        <f t="shared" si="30"/>
        <v>Error?</v>
      </c>
    </row>
    <row r="2011" spans="1:4" x14ac:dyDescent="0.2">
      <c r="A2011" s="5">
        <v>1950</v>
      </c>
      <c r="B2011" s="138">
        <f>'Cap Outlay Deprec 26'!C12</f>
        <v>176470</v>
      </c>
      <c r="D2011" s="2" t="str">
        <f t="shared" si="30"/>
        <v>Error?</v>
      </c>
    </row>
    <row r="2012" spans="1:4" x14ac:dyDescent="0.2">
      <c r="A2012" s="5">
        <v>1951</v>
      </c>
      <c r="B2012" s="138">
        <f>'Cap Outlay Deprec 26'!C13</f>
        <v>2928792</v>
      </c>
      <c r="D2012" s="2" t="str">
        <f t="shared" si="30"/>
        <v>Error?</v>
      </c>
    </row>
    <row r="2013" spans="1:4" x14ac:dyDescent="0.2">
      <c r="A2013" s="5">
        <v>1952</v>
      </c>
      <c r="B2013" s="138">
        <f>'Cap Outlay Deprec 26'!C16</f>
        <v>50742655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680000</v>
      </c>
      <c r="D2015" s="2" t="str">
        <f t="shared" si="30"/>
        <v>Error?</v>
      </c>
    </row>
    <row r="2016" spans="1:4" x14ac:dyDescent="0.2">
      <c r="A2016" s="5">
        <v>1955</v>
      </c>
      <c r="B2016" s="138">
        <f>'Cap Outlay Deprec 26'!D10</f>
        <v>3831342</v>
      </c>
      <c r="D2016" s="2" t="str">
        <f t="shared" si="30"/>
        <v>Error?</v>
      </c>
    </row>
    <row r="2017" spans="1:4" x14ac:dyDescent="0.2">
      <c r="A2017" s="5">
        <v>1956</v>
      </c>
      <c r="B2017" s="138">
        <f>'Cap Outlay Deprec 26'!D12</f>
        <v>9582</v>
      </c>
      <c r="D2017" s="2" t="str">
        <f t="shared" si="30"/>
        <v>Error?</v>
      </c>
    </row>
    <row r="2018" spans="1:4" x14ac:dyDescent="0.2">
      <c r="A2018" s="5">
        <v>1957</v>
      </c>
      <c r="B2018" s="138">
        <f>'Cap Outlay Deprec 26'!D13</f>
        <v>110432</v>
      </c>
      <c r="D2018" s="2" t="str">
        <f t="shared" si="30"/>
        <v>Error?</v>
      </c>
    </row>
    <row r="2019" spans="1:4" x14ac:dyDescent="0.2">
      <c r="A2019" s="5">
        <v>1958</v>
      </c>
      <c r="B2019" s="138">
        <f>'Cap Outlay Deprec 26'!D16</f>
        <v>7802181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275000</v>
      </c>
      <c r="D2021" s="2" t="str">
        <f t="shared" si="30"/>
        <v>Error?</v>
      </c>
    </row>
    <row r="2022" spans="1:4" x14ac:dyDescent="0.2">
      <c r="A2022" s="5">
        <v>1961</v>
      </c>
      <c r="B2022" s="138">
        <f>'Cap Outlay Deprec 26'!E10</f>
        <v>4981</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35884</v>
      </c>
      <c r="D2024" s="2" t="str">
        <f t="shared" si="30"/>
        <v>Error?</v>
      </c>
    </row>
    <row r="2025" spans="1:4" x14ac:dyDescent="0.2">
      <c r="A2025" s="5">
        <v>1964</v>
      </c>
      <c r="B2025" s="138">
        <f>'Cap Outlay Deprec 26'!E16</f>
        <v>4783765</v>
      </c>
      <c r="C2025" s="2" t="s">
        <v>594</v>
      </c>
      <c r="D2025" s="2" t="str">
        <f t="shared" si="30"/>
        <v>Error?</v>
      </c>
    </row>
    <row r="2026" spans="1:4" x14ac:dyDescent="0.2">
      <c r="A2026" s="5">
        <v>1965</v>
      </c>
      <c r="B2026" s="138">
        <f>'Cap Outlay Deprec 26'!F5</f>
        <v>1260625</v>
      </c>
      <c r="C2026" s="2" t="s">
        <v>594</v>
      </c>
      <c r="D2026" s="2" t="str">
        <f t="shared" si="30"/>
        <v>Error?</v>
      </c>
    </row>
    <row r="2027" spans="1:4" x14ac:dyDescent="0.2">
      <c r="A2027" s="5">
        <v>1966</v>
      </c>
      <c r="B2027" s="138">
        <f>'Cap Outlay Deprec 26'!F8</f>
        <v>42917715</v>
      </c>
      <c r="C2027" s="2" t="s">
        <v>594</v>
      </c>
      <c r="D2027" s="2" t="str">
        <f t="shared" si="30"/>
        <v>Error?</v>
      </c>
    </row>
    <row r="2028" spans="1:4" x14ac:dyDescent="0.2">
      <c r="A2028" s="5">
        <v>1967</v>
      </c>
      <c r="B2028" s="138">
        <f>'Cap Outlay Deprec 26'!F10</f>
        <v>6393339</v>
      </c>
      <c r="C2028" s="2" t="s">
        <v>594</v>
      </c>
      <c r="D2028" s="2" t="str">
        <f t="shared" si="30"/>
        <v>Error?</v>
      </c>
    </row>
    <row r="2029" spans="1:4" x14ac:dyDescent="0.2">
      <c r="A2029" s="5">
        <v>1968</v>
      </c>
      <c r="B2029" s="138">
        <f>'Cap Outlay Deprec 26'!F12</f>
        <v>186052</v>
      </c>
      <c r="C2029" s="2" t="s">
        <v>594</v>
      </c>
      <c r="D2029" s="2" t="str">
        <f t="shared" si="30"/>
        <v>Error?</v>
      </c>
    </row>
    <row r="2030" spans="1:4" x14ac:dyDescent="0.2">
      <c r="A2030" s="5">
        <v>1969</v>
      </c>
      <c r="B2030" s="138">
        <f>'Cap Outlay Deprec 26'!F13</f>
        <v>3003340</v>
      </c>
      <c r="C2030" s="2" t="s">
        <v>594</v>
      </c>
      <c r="D2030" s="2" t="str">
        <f t="shared" si="30"/>
        <v>Error?</v>
      </c>
    </row>
    <row r="2031" spans="1:4" x14ac:dyDescent="0.2">
      <c r="A2031" s="5">
        <v>1970</v>
      </c>
      <c r="B2031" s="138">
        <f>'Cap Outlay Deprec 26'!F16</f>
        <v>53761071</v>
      </c>
      <c r="C2031" s="2" t="s">
        <v>594</v>
      </c>
      <c r="D2031" s="2" t="str">
        <f t="shared" si="30"/>
        <v>Error?</v>
      </c>
    </row>
    <row r="2032" spans="1:4" x14ac:dyDescent="0.2">
      <c r="A2032" s="10">
        <v>1971</v>
      </c>
      <c r="D2032" s="2" t="str">
        <f t="shared" si="30"/>
        <v>OK</v>
      </c>
    </row>
    <row r="2033" spans="1:4" x14ac:dyDescent="0.2">
      <c r="A2033" s="5">
        <v>1972</v>
      </c>
      <c r="B2033" s="138">
        <f>'Cap Outlay Deprec 26'!H8</f>
        <v>12298449</v>
      </c>
      <c r="D2033" s="2" t="str">
        <f t="shared" si="30"/>
        <v>Error?</v>
      </c>
    </row>
    <row r="2034" spans="1:4" x14ac:dyDescent="0.2">
      <c r="A2034" s="5">
        <v>1973</v>
      </c>
      <c r="B2034" s="138">
        <f>'Cap Outlay Deprec 26'!H10</f>
        <v>890366</v>
      </c>
      <c r="D2034" s="2" t="str">
        <f t="shared" si="30"/>
        <v>Error?</v>
      </c>
    </row>
    <row r="2035" spans="1:4" x14ac:dyDescent="0.2">
      <c r="A2035" s="5">
        <v>1974</v>
      </c>
      <c r="B2035" s="138">
        <f>'Cap Outlay Deprec 26'!H12</f>
        <v>55355</v>
      </c>
      <c r="D2035" s="2" t="str">
        <f t="shared" si="30"/>
        <v>Error?</v>
      </c>
    </row>
    <row r="2036" spans="1:4" x14ac:dyDescent="0.2">
      <c r="A2036" s="5">
        <v>1975</v>
      </c>
      <c r="B2036" s="138">
        <f>'Cap Outlay Deprec 26'!H13</f>
        <v>2698335</v>
      </c>
      <c r="D2036" s="2" t="str">
        <f t="shared" si="30"/>
        <v>Error?</v>
      </c>
    </row>
    <row r="2037" spans="1:4" x14ac:dyDescent="0.2">
      <c r="A2037" s="5">
        <v>1976</v>
      </c>
      <c r="B2037" s="138">
        <f>'Cap Outlay Deprec 26'!H16</f>
        <v>15942505</v>
      </c>
      <c r="C2037" s="2" t="s">
        <v>594</v>
      </c>
      <c r="D2037" s="2" t="str">
        <f t="shared" si="30"/>
        <v>Error?</v>
      </c>
    </row>
    <row r="2038" spans="1:4" x14ac:dyDescent="0.2">
      <c r="A2038" s="10">
        <v>1977</v>
      </c>
      <c r="D2038" s="2" t="str">
        <f t="shared" si="30"/>
        <v>OK</v>
      </c>
    </row>
    <row r="2039" spans="1:4" x14ac:dyDescent="0.2">
      <c r="A2039" s="5">
        <v>1978</v>
      </c>
      <c r="B2039" s="138">
        <f>'Cap Outlay Deprec 26'!I8</f>
        <v>867075</v>
      </c>
      <c r="D2039" s="2" t="str">
        <f t="shared" si="30"/>
        <v>Error?</v>
      </c>
    </row>
    <row r="2040" spans="1:4" x14ac:dyDescent="0.2">
      <c r="A2040" s="5">
        <v>1979</v>
      </c>
      <c r="B2040" s="138">
        <f>'Cap Outlay Deprec 26'!I10</f>
        <v>209657</v>
      </c>
      <c r="D2040" s="2" t="str">
        <f t="shared" si="30"/>
        <v>Error?</v>
      </c>
    </row>
    <row r="2041" spans="1:4" x14ac:dyDescent="0.2">
      <c r="A2041" s="5">
        <v>1980</v>
      </c>
      <c r="B2041" s="138">
        <f>'Cap Outlay Deprec 26'!I12</f>
        <v>17919</v>
      </c>
      <c r="D2041" s="2" t="str">
        <f t="shared" si="30"/>
        <v>Error?</v>
      </c>
    </row>
    <row r="2042" spans="1:4" x14ac:dyDescent="0.2">
      <c r="A2042" s="5">
        <v>1981</v>
      </c>
      <c r="B2042" s="138">
        <f>'Cap Outlay Deprec 26'!I13</f>
        <v>106483</v>
      </c>
      <c r="D2042" s="2" t="str">
        <f t="shared" si="30"/>
        <v>Error?</v>
      </c>
    </row>
    <row r="2043" spans="1:4" x14ac:dyDescent="0.2">
      <c r="A2043" s="5">
        <v>1982</v>
      </c>
      <c r="B2043" s="138">
        <f>'Cap Outlay Deprec 26'!I16</f>
        <v>1201134</v>
      </c>
      <c r="C2043" s="2" t="s">
        <v>594</v>
      </c>
      <c r="D2043" s="2" t="str">
        <f t="shared" si="30"/>
        <v>Error?</v>
      </c>
    </row>
    <row r="2044" spans="1:4" x14ac:dyDescent="0.2">
      <c r="A2044" s="10">
        <v>1983</v>
      </c>
      <c r="D2044" s="2" t="str">
        <f t="shared" si="30"/>
        <v>OK</v>
      </c>
    </row>
    <row r="2045" spans="1:4" x14ac:dyDescent="0.2">
      <c r="A2045" s="5">
        <v>1984</v>
      </c>
      <c r="B2045" s="138">
        <f>'Cap Outlay Deprec 26'!J8</f>
        <v>99750</v>
      </c>
      <c r="D2045" s="2" t="str">
        <f t="shared" si="30"/>
        <v>Error?</v>
      </c>
    </row>
    <row r="2046" spans="1:4" x14ac:dyDescent="0.2">
      <c r="A2046" s="5">
        <v>1985</v>
      </c>
      <c r="B2046" s="138">
        <f>'Cap Outlay Deprec 26'!J10</f>
        <v>4981</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35884</v>
      </c>
      <c r="D2048" s="2" t="str">
        <f t="shared" si="31"/>
        <v>Error?</v>
      </c>
    </row>
    <row r="2049" spans="1:4" x14ac:dyDescent="0.2">
      <c r="A2049" s="5">
        <v>1988</v>
      </c>
      <c r="B2049" s="138">
        <f>'Cap Outlay Deprec 26'!J16</f>
        <v>140615</v>
      </c>
      <c r="C2049" s="2" t="s">
        <v>594</v>
      </c>
      <c r="D2049" s="2" t="str">
        <f t="shared" si="31"/>
        <v>Error?</v>
      </c>
    </row>
    <row r="2050" spans="1:4" x14ac:dyDescent="0.2">
      <c r="A2050" s="10">
        <v>1989</v>
      </c>
      <c r="D2050" s="2" t="str">
        <f t="shared" si="31"/>
        <v>OK</v>
      </c>
    </row>
    <row r="2051" spans="1:4" x14ac:dyDescent="0.2">
      <c r="A2051" s="5">
        <v>1990</v>
      </c>
      <c r="B2051" s="138">
        <f>'Cap Outlay Deprec 26'!K8</f>
        <v>13065774</v>
      </c>
      <c r="C2051" s="2" t="s">
        <v>594</v>
      </c>
      <c r="D2051" s="2" t="str">
        <f t="shared" si="31"/>
        <v>Error?</v>
      </c>
    </row>
    <row r="2052" spans="1:4" x14ac:dyDescent="0.2">
      <c r="A2052" s="5">
        <v>1991</v>
      </c>
      <c r="B2052" s="138">
        <f>'Cap Outlay Deprec 26'!K10</f>
        <v>1095042</v>
      </c>
      <c r="C2052" s="2" t="s">
        <v>594</v>
      </c>
      <c r="D2052" s="2" t="str">
        <f t="shared" si="31"/>
        <v>Error?</v>
      </c>
    </row>
    <row r="2053" spans="1:4" x14ac:dyDescent="0.2">
      <c r="A2053" s="5">
        <v>1992</v>
      </c>
      <c r="B2053" s="138">
        <f>'Cap Outlay Deprec 26'!K12</f>
        <v>73274</v>
      </c>
      <c r="C2053" s="2" t="s">
        <v>594</v>
      </c>
      <c r="D2053" s="2" t="str">
        <f t="shared" si="31"/>
        <v>Error?</v>
      </c>
    </row>
    <row r="2054" spans="1:4" x14ac:dyDescent="0.2">
      <c r="A2054" s="5">
        <v>1993</v>
      </c>
      <c r="B2054" s="138">
        <f>'Cap Outlay Deprec 26'!K13</f>
        <v>2768934</v>
      </c>
      <c r="C2054" s="2" t="s">
        <v>594</v>
      </c>
      <c r="D2054" s="2" t="str">
        <f t="shared" si="31"/>
        <v>Error?</v>
      </c>
    </row>
    <row r="2055" spans="1:4" x14ac:dyDescent="0.2">
      <c r="A2055" s="5">
        <v>1994</v>
      </c>
      <c r="B2055" s="138">
        <f>'Cap Outlay Deprec 26'!K16</f>
        <v>17003024</v>
      </c>
      <c r="C2055" s="2" t="s">
        <v>594</v>
      </c>
      <c r="D2055" s="2" t="str">
        <f t="shared" si="31"/>
        <v>Error?</v>
      </c>
    </row>
    <row r="2056" spans="1:4" x14ac:dyDescent="0.2">
      <c r="A2056" s="5">
        <v>1995</v>
      </c>
      <c r="B2056" s="138">
        <f>'Cap Outlay Deprec 26'!L5</f>
        <v>1260625</v>
      </c>
      <c r="C2056" s="2" t="s">
        <v>594</v>
      </c>
      <c r="D2056" s="2" t="str">
        <f t="shared" si="31"/>
        <v>Error?</v>
      </c>
    </row>
    <row r="2057" spans="1:4" x14ac:dyDescent="0.2">
      <c r="A2057" s="5">
        <v>1996</v>
      </c>
      <c r="B2057" s="138">
        <f>'Cap Outlay Deprec 26'!L8</f>
        <v>29851941</v>
      </c>
      <c r="C2057" s="2" t="s">
        <v>594</v>
      </c>
      <c r="D2057" s="2" t="str">
        <f t="shared" si="31"/>
        <v>Error?</v>
      </c>
    </row>
    <row r="2058" spans="1:4" x14ac:dyDescent="0.2">
      <c r="A2058" s="5">
        <v>1997</v>
      </c>
      <c r="B2058" s="138">
        <f>'Cap Outlay Deprec 26'!L10</f>
        <v>5298297</v>
      </c>
      <c r="C2058" s="2" t="s">
        <v>594</v>
      </c>
      <c r="D2058" s="2" t="str">
        <f t="shared" si="31"/>
        <v>Error?</v>
      </c>
    </row>
    <row r="2059" spans="1:4" x14ac:dyDescent="0.2">
      <c r="A2059" s="5">
        <v>1998</v>
      </c>
      <c r="B2059" s="138">
        <f>'Cap Outlay Deprec 26'!L12</f>
        <v>112778</v>
      </c>
      <c r="C2059" s="2" t="s">
        <v>594</v>
      </c>
      <c r="D2059" s="2" t="str">
        <f t="shared" si="31"/>
        <v>Error?</v>
      </c>
    </row>
    <row r="2060" spans="1:4" x14ac:dyDescent="0.2">
      <c r="A2060" s="5">
        <v>1999</v>
      </c>
      <c r="B2060" s="138">
        <f>'Cap Outlay Deprec 26'!L13</f>
        <v>234406</v>
      </c>
      <c r="C2060" s="2" t="s">
        <v>594</v>
      </c>
      <c r="D2060" s="2" t="str">
        <f t="shared" si="31"/>
        <v>Error?</v>
      </c>
    </row>
    <row r="2061" spans="1:4" x14ac:dyDescent="0.2">
      <c r="A2061" s="5">
        <v>2000</v>
      </c>
      <c r="B2061" s="138">
        <f>'Cap Outlay Deprec 26'!L16</f>
        <v>36758047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11180054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11355967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703979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36087088</v>
      </c>
      <c r="C2551" s="2" t="s">
        <v>594</v>
      </c>
      <c r="D2551" s="2" t="str">
        <f t="shared" si="38"/>
        <v>Error?</v>
      </c>
    </row>
    <row r="2552" spans="1:4" x14ac:dyDescent="0.2">
      <c r="A2552" s="10">
        <v>2491</v>
      </c>
      <c r="D2552" s="2" t="str">
        <f t="shared" si="38"/>
        <v>OK</v>
      </c>
    </row>
    <row r="2553" spans="1:4" x14ac:dyDescent="0.2">
      <c r="A2553" s="5">
        <v>2492</v>
      </c>
      <c r="B2553" s="138">
        <f>'Acct Summary 7-8'!C6</f>
        <v>4094244</v>
      </c>
      <c r="C2553" s="2" t="s">
        <v>594</v>
      </c>
      <c r="D2553" s="2" t="str">
        <f t="shared" si="38"/>
        <v>Error?</v>
      </c>
    </row>
    <row r="2554" spans="1:4" x14ac:dyDescent="0.2">
      <c r="A2554" s="5">
        <v>2493</v>
      </c>
      <c r="B2554" s="138">
        <f>'Acct Summary 7-8'!C7</f>
        <v>6882244</v>
      </c>
      <c r="C2554" s="2" t="s">
        <v>594</v>
      </c>
      <c r="D2554" s="2" t="str">
        <f t="shared" si="38"/>
        <v>Error?</v>
      </c>
    </row>
    <row r="2555" spans="1:4" x14ac:dyDescent="0.2">
      <c r="A2555" s="5">
        <v>2494</v>
      </c>
      <c r="B2555" s="138">
        <f>'Acct Summary 7-8'!C8</f>
        <v>58004148</v>
      </c>
      <c r="C2555" s="2" t="s">
        <v>594</v>
      </c>
      <c r="D2555" s="2" t="str">
        <f t="shared" si="38"/>
        <v>Error?</v>
      </c>
    </row>
    <row r="2556" spans="1:4" x14ac:dyDescent="0.2">
      <c r="A2556" s="5">
        <v>2495</v>
      </c>
      <c r="B2556" s="138">
        <f>'Acct Summary 7-8'!C12</f>
        <v>25571051</v>
      </c>
      <c r="C2556" s="2" t="s">
        <v>594</v>
      </c>
      <c r="D2556" s="2" t="str">
        <f t="shared" si="38"/>
        <v>Error?</v>
      </c>
    </row>
    <row r="2557" spans="1:4" x14ac:dyDescent="0.2">
      <c r="A2557" s="5">
        <v>2496</v>
      </c>
      <c r="B2557" s="138">
        <f>'Acct Summary 7-8'!C13</f>
        <v>19281891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11355967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56208909</v>
      </c>
      <c r="C2561" s="2" t="s">
        <v>594</v>
      </c>
      <c r="D2561" s="2" t="str">
        <f t="shared" si="39"/>
        <v>Error?</v>
      </c>
    </row>
    <row r="2562" spans="1:4" x14ac:dyDescent="0.2">
      <c r="A2562" s="5">
        <v>2501</v>
      </c>
      <c r="B2562" s="138">
        <f>'Acct Summary 7-8'!C20</f>
        <v>1795239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2728994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2728994</v>
      </c>
      <c r="C2568" s="2" t="s">
        <v>594</v>
      </c>
      <c r="D2568" s="2" t="str">
        <f t="shared" si="39"/>
        <v>Error?</v>
      </c>
    </row>
    <row r="2569" spans="1:4" x14ac:dyDescent="0.2">
      <c r="A2569" s="5">
        <v>2508</v>
      </c>
      <c r="B2569" s="138">
        <f>'Acct Summary 7-8'!D13</f>
        <v>5529979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5529979</v>
      </c>
      <c r="C2573" s="2" t="s">
        <v>594</v>
      </c>
      <c r="D2573" s="2" t="str">
        <f t="shared" si="39"/>
        <v>Error?</v>
      </c>
    </row>
    <row r="2574" spans="1:4" x14ac:dyDescent="0.2">
      <c r="A2574" s="5">
        <v>2513</v>
      </c>
      <c r="B2574" s="138">
        <f>'Acct Summary 7-8'!D20</f>
        <v>-2800985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1118</v>
      </c>
      <c r="C2591" s="2" t="s">
        <v>594</v>
      </c>
      <c r="D2591" s="2" t="str">
        <f t="shared" si="39"/>
        <v>Error?</v>
      </c>
    </row>
    <row r="2592" spans="1:4" x14ac:dyDescent="0.2">
      <c r="A2592" s="10">
        <v>2531</v>
      </c>
      <c r="D2592" s="2" t="str">
        <f t="shared" si="39"/>
        <v>OK</v>
      </c>
    </row>
    <row r="2593" spans="1:4" x14ac:dyDescent="0.2">
      <c r="A2593" s="5">
        <v>2532</v>
      </c>
      <c r="B2593" s="138">
        <f>'Acct Summary 7-8'!F6</f>
        <v>773788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774906</v>
      </c>
      <c r="C2595" s="2" t="s">
        <v>594</v>
      </c>
      <c r="D2595" s="2" t="str">
        <f t="shared" si="39"/>
        <v>Error?</v>
      </c>
    </row>
    <row r="2596" spans="1:4" x14ac:dyDescent="0.2">
      <c r="A2596" s="5">
        <v>2535</v>
      </c>
      <c r="B2596" s="138">
        <f>'Acct Summary 7-8'!F13</f>
        <v>1258214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1258214</v>
      </c>
      <c r="C2600" s="2" t="s">
        <v>594</v>
      </c>
      <c r="D2600" s="2" t="str">
        <f t="shared" si="39"/>
        <v>Error?</v>
      </c>
    </row>
    <row r="2601" spans="1:4" x14ac:dyDescent="0.2">
      <c r="A2601" s="5">
        <v>2540</v>
      </c>
      <c r="B2601" s="138">
        <f>'Acct Summary 7-8'!F20</f>
        <v>-483308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1631388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1631388</v>
      </c>
      <c r="C2606" s="2" t="s">
        <v>594</v>
      </c>
      <c r="D2606" s="2" t="str">
        <f t="shared" si="39"/>
        <v>Error?</v>
      </c>
    </row>
    <row r="2607" spans="1:4" x14ac:dyDescent="0.2">
      <c r="A2607" s="5">
        <v>2546</v>
      </c>
      <c r="B2607" s="138">
        <f>'Acct Summary 7-8'!G12</f>
        <v>786383</v>
      </c>
      <c r="C2607" s="2" t="s">
        <v>594</v>
      </c>
      <c r="D2607" s="2" t="str">
        <f t="shared" si="39"/>
        <v>Error?</v>
      </c>
    </row>
    <row r="2608" spans="1:4" x14ac:dyDescent="0.2">
      <c r="A2608" s="5">
        <v>2547</v>
      </c>
      <c r="B2608" s="138">
        <f>'Acct Summary 7-8'!G13</f>
        <v>881407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1667790</v>
      </c>
      <c r="C2612" s="2" t="s">
        <v>594</v>
      </c>
      <c r="D2612" s="2" t="str">
        <f t="shared" si="39"/>
        <v>Error?</v>
      </c>
    </row>
    <row r="2613" spans="1:4" x14ac:dyDescent="0.2">
      <c r="A2613" s="5">
        <v>2552</v>
      </c>
      <c r="B2613" s="138">
        <f>'Acct Summary 7-8'!G20</f>
        <v>-36402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826106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826106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824850</v>
      </c>
      <c r="C2634" s="2" t="s">
        <v>594</v>
      </c>
      <c r="D2634" s="2" t="str">
        <f t="shared" si="40"/>
        <v>Error?</v>
      </c>
    </row>
    <row r="2635" spans="1:4" x14ac:dyDescent="0.2">
      <c r="A2635" s="5">
        <v>2574</v>
      </c>
      <c r="B2635" s="138">
        <f>'Acct Summary 7-8'!E17</f>
        <v>824850</v>
      </c>
      <c r="C2635" s="2" t="s">
        <v>594</v>
      </c>
      <c r="D2635" s="2" t="str">
        <f t="shared" si="40"/>
        <v>Error?</v>
      </c>
    </row>
    <row r="2636" spans="1:4" x14ac:dyDescent="0.2">
      <c r="A2636" s="5">
        <v>2575</v>
      </c>
      <c r="B2636" s="138">
        <f>'Acct Summary 7-8'!E20</f>
        <v>1256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151</v>
      </c>
      <c r="C2655" s="2" t="s">
        <v>594</v>
      </c>
      <c r="D2655" s="2" t="str">
        <f t="shared" si="40"/>
        <v>Error?</v>
      </c>
    </row>
    <row r="2656" spans="1:4" x14ac:dyDescent="0.2">
      <c r="A2656" s="5">
        <v>2595</v>
      </c>
      <c r="B2656" s="138">
        <f>'Acct Summary 7-8'!H6</f>
        <v>30290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30441</v>
      </c>
      <c r="C2658" s="2" t="s">
        <v>594</v>
      </c>
      <c r="D2658" s="2" t="str">
        <f t="shared" si="40"/>
        <v>Error?</v>
      </c>
    </row>
    <row r="2659" spans="1:4" x14ac:dyDescent="0.2">
      <c r="A2659" s="5">
        <v>2598</v>
      </c>
      <c r="B2659" s="138">
        <f>'Acct Summary 7-8'!H13</f>
        <v>77153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77153</v>
      </c>
      <c r="C2661" s="2" t="s">
        <v>594</v>
      </c>
      <c r="D2661" s="2" t="str">
        <f t="shared" si="40"/>
        <v>Error?</v>
      </c>
    </row>
    <row r="2662" spans="1:4" x14ac:dyDescent="0.2">
      <c r="A2662" s="5">
        <v>2601</v>
      </c>
      <c r="B2662" s="138">
        <f>'Acct Summary 7-8'!H20</f>
        <v>-46712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175913</v>
      </c>
      <c r="C2789" s="2" t="s">
        <v>594</v>
      </c>
      <c r="D2789" s="2" t="str">
        <f t="shared" si="42"/>
        <v>Error?</v>
      </c>
    </row>
    <row r="2790" spans="1:4" x14ac:dyDescent="0.2">
      <c r="A2790" s="5">
        <v>2729</v>
      </c>
      <c r="B2790" s="138">
        <f>'Expenditures 15-22'!E102</f>
        <v>175913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384396</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72539</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175913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11180054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11355967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1560000</v>
      </c>
      <c r="C3231" s="2" t="s">
        <v>594</v>
      </c>
      <c r="D3231" s="2" t="str">
        <f t="shared" si="49"/>
        <v>Error?</v>
      </c>
    </row>
    <row r="3232" spans="1:4" x14ac:dyDescent="0.2">
      <c r="A3232" s="5">
        <v>3171</v>
      </c>
      <c r="B3232" s="138">
        <f>'Acct Summary 7-8'!C77</f>
        <v>-1560000</v>
      </c>
      <c r="C3232" s="2" t="s">
        <v>594</v>
      </c>
      <c r="D3232" s="2" t="str">
        <f t="shared" si="49"/>
        <v>Error?</v>
      </c>
    </row>
    <row r="3233" spans="1:4" x14ac:dyDescent="0.2">
      <c r="A3233" s="5">
        <v>3172</v>
      </c>
      <c r="B3233" s="138">
        <f>'Acct Summary 7-8'!C78</f>
        <v>235239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1300000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1300000</v>
      </c>
      <c r="C3238" s="2" t="s">
        <v>594</v>
      </c>
      <c r="D3238" s="2" t="str">
        <f t="shared" si="49"/>
        <v>Error?</v>
      </c>
    </row>
    <row r="3239" spans="1:4" x14ac:dyDescent="0.2">
      <c r="A3239" s="5">
        <v>3178</v>
      </c>
      <c r="B3239" s="138">
        <f>'Acct Summary 7-8'!D78</f>
        <v>-1500985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260000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260000</v>
      </c>
      <c r="C3255" s="2" t="s">
        <v>594</v>
      </c>
      <c r="D3255" s="2" t="str">
        <f t="shared" si="49"/>
        <v>Error?</v>
      </c>
    </row>
    <row r="3256" spans="1:4" x14ac:dyDescent="0.2">
      <c r="A3256" s="5">
        <v>3195</v>
      </c>
      <c r="B3256" s="138">
        <f>'Acct Summary 7-8'!F78</f>
        <v>-223308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-36402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1256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-46712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15328361</v>
      </c>
      <c r="D3366" s="2" t="str">
        <f t="shared" si="51"/>
        <v>Error?</v>
      </c>
    </row>
    <row r="3367" spans="1:4" x14ac:dyDescent="0.2">
      <c r="A3367" s="5">
        <v>3306</v>
      </c>
      <c r="B3367" s="138">
        <f>'Expenditures 15-22'!C19</f>
        <v>418460</v>
      </c>
      <c r="D3367" s="2" t="str">
        <f t="shared" si="51"/>
        <v>Error?</v>
      </c>
    </row>
    <row r="3368" spans="1:4" x14ac:dyDescent="0.2">
      <c r="A3368" s="5">
        <v>3307</v>
      </c>
      <c r="B3368" s="138">
        <f>'Expenditures 15-22'!D8</f>
        <v>4002702</v>
      </c>
      <c r="D3368" s="2" t="str">
        <f t="shared" si="51"/>
        <v>Error?</v>
      </c>
    </row>
    <row r="3369" spans="1:4" x14ac:dyDescent="0.2">
      <c r="A3369" s="5">
        <v>3308</v>
      </c>
      <c r="B3369" s="138">
        <f>'Expenditures 15-22'!D19</f>
        <v>150576</v>
      </c>
      <c r="D3369" s="2" t="str">
        <f t="shared" si="51"/>
        <v>Error?</v>
      </c>
    </row>
    <row r="3370" spans="1:4" x14ac:dyDescent="0.2">
      <c r="A3370" s="5">
        <v>3309</v>
      </c>
      <c r="B3370" s="138">
        <f>'Expenditures 15-22'!E8</f>
        <v>1013212</v>
      </c>
      <c r="D3370" s="2" t="str">
        <f t="shared" si="51"/>
        <v>Error?</v>
      </c>
    </row>
    <row r="3371" spans="1:4" x14ac:dyDescent="0.2">
      <c r="A3371" s="5">
        <v>3310</v>
      </c>
      <c r="B3371" s="138">
        <f>'Expenditures 15-22'!E19</f>
        <v>112898</v>
      </c>
      <c r="D3371" s="2" t="str">
        <f t="shared" si="51"/>
        <v>Error?</v>
      </c>
    </row>
    <row r="3372" spans="1:4" x14ac:dyDescent="0.2">
      <c r="A3372" s="5">
        <v>3311</v>
      </c>
      <c r="B3372" s="138">
        <f>'Expenditures 15-22'!F8</f>
        <v>298278</v>
      </c>
      <c r="D3372" s="2" t="str">
        <f t="shared" si="51"/>
        <v>Error?</v>
      </c>
    </row>
    <row r="3373" spans="1:4" x14ac:dyDescent="0.2">
      <c r="A3373" s="5">
        <v>3312</v>
      </c>
      <c r="B3373" s="138">
        <f>'Expenditures 15-22'!F19</f>
        <v>6622</v>
      </c>
      <c r="D3373" s="2" t="str">
        <f t="shared" si="51"/>
        <v>Error?</v>
      </c>
    </row>
    <row r="3374" spans="1:4" x14ac:dyDescent="0.2">
      <c r="A3374" s="5">
        <v>3313</v>
      </c>
      <c r="B3374" s="138">
        <f>'Expenditures 15-22'!G8</f>
        <v>35527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20714005</v>
      </c>
      <c r="C3380" s="2" t="s">
        <v>594</v>
      </c>
      <c r="D3380" s="2" t="str">
        <f t="shared" si="51"/>
        <v>Error?</v>
      </c>
    </row>
    <row r="3381" spans="1:4" x14ac:dyDescent="0.2">
      <c r="A3381" s="5">
        <v>3320</v>
      </c>
      <c r="B3381" s="138">
        <f>'Expenditures 15-22'!K19</f>
        <v>699847</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621246</v>
      </c>
      <c r="D3388" s="2" t="str">
        <f t="shared" si="51"/>
        <v>Error?</v>
      </c>
    </row>
    <row r="3389" spans="1:4" x14ac:dyDescent="0.2">
      <c r="A3389" s="5">
        <v>3328</v>
      </c>
      <c r="B3389" s="138">
        <f>'Expenditures 15-22'!D228</f>
        <v>376</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621246</v>
      </c>
      <c r="C3391" s="2" t="s">
        <v>594</v>
      </c>
      <c r="D3391" s="2" t="str">
        <f t="shared" ref="D3391:D3454" si="52">IF(ISBLANK(B3391),"OK",IF(A3391-B3391=0,"OK","Error?"))</f>
        <v>Error?</v>
      </c>
    </row>
    <row r="3392" spans="1:4" x14ac:dyDescent="0.2">
      <c r="A3392" s="5">
        <v>3331</v>
      </c>
      <c r="B3392" s="138">
        <f>'Expenditures 15-22'!K228</f>
        <v>376</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10940572</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3428951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2599128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168577</v>
      </c>
      <c r="D3417" s="2" t="str">
        <f t="shared" si="52"/>
        <v>Error?</v>
      </c>
    </row>
    <row r="3418" spans="1:4" x14ac:dyDescent="0.2">
      <c r="A3418" s="10">
        <v>3357</v>
      </c>
      <c r="D3418" s="2" t="str">
        <f t="shared" si="52"/>
        <v>OK</v>
      </c>
    </row>
    <row r="3419" spans="1:4" x14ac:dyDescent="0.2">
      <c r="A3419" s="5">
        <v>3358</v>
      </c>
      <c r="B3419" s="138">
        <f>'Assets-Liab 5-6'!F4</f>
        <v>92857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1635335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1297075</v>
      </c>
      <c r="D3451" s="2" t="str">
        <f t="shared" si="52"/>
        <v>Error?</v>
      </c>
    </row>
    <row r="3452" spans="1:4" x14ac:dyDescent="0.2">
      <c r="A3452" s="5">
        <v>3391</v>
      </c>
      <c r="B3452" s="138">
        <f>'Cap Outlay Deprec 26'!D15</f>
        <v>3170825</v>
      </c>
      <c r="D3452" s="2" t="str">
        <f t="shared" si="52"/>
        <v>Error?</v>
      </c>
    </row>
    <row r="3453" spans="1:4" x14ac:dyDescent="0.2">
      <c r="A3453" s="5">
        <v>3392</v>
      </c>
      <c r="B3453" s="138">
        <f>'Cap Outlay Deprec 26'!E15</f>
        <v>4467900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215372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13763837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71767985</v>
      </c>
      <c r="C4122" s="2" t="s">
        <v>594</v>
      </c>
      <c r="D4122" s="2" t="str">
        <f t="shared" si="63"/>
        <v>Error?</v>
      </c>
    </row>
    <row r="4123" spans="1:4" x14ac:dyDescent="0.2">
      <c r="A4123" s="5">
        <v>4062</v>
      </c>
      <c r="B4123" s="138">
        <f>'Acct Summary 7-8'!D10</f>
        <v>2728994</v>
      </c>
      <c r="C4123" s="2" t="s">
        <v>594</v>
      </c>
      <c r="D4123" s="2" t="str">
        <f t="shared" si="63"/>
        <v>Error?</v>
      </c>
    </row>
    <row r="4124" spans="1:4" x14ac:dyDescent="0.2">
      <c r="A4124" s="5">
        <v>4063</v>
      </c>
      <c r="B4124" s="138">
        <f>'Acct Summary 7-8'!E10</f>
        <v>826106</v>
      </c>
      <c r="C4124" s="2" t="s">
        <v>594</v>
      </c>
      <c r="D4124" s="2" t="str">
        <f t="shared" si="63"/>
        <v>Error?</v>
      </c>
    </row>
    <row r="4125" spans="1:4" x14ac:dyDescent="0.2">
      <c r="A4125" s="5">
        <v>4064</v>
      </c>
      <c r="B4125" s="138">
        <f>'Acct Summary 7-8'!F10</f>
        <v>774906</v>
      </c>
      <c r="C4125" s="2" t="s">
        <v>594</v>
      </c>
      <c r="D4125" s="2" t="str">
        <f t="shared" si="63"/>
        <v>Error?</v>
      </c>
    </row>
    <row r="4126" spans="1:4" x14ac:dyDescent="0.2">
      <c r="A4126" s="5">
        <v>4065</v>
      </c>
      <c r="B4126" s="138">
        <f>'Acct Summary 7-8'!G10</f>
        <v>1631388</v>
      </c>
      <c r="C4126" s="2" t="s">
        <v>594</v>
      </c>
      <c r="D4126" s="2" t="str">
        <f t="shared" si="63"/>
        <v>Error?</v>
      </c>
    </row>
    <row r="4127" spans="1:4" x14ac:dyDescent="0.2">
      <c r="A4127" s="5">
        <v>4066</v>
      </c>
      <c r="B4127" s="138">
        <f>'Acct Summary 7-8'!H10</f>
        <v>30441</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13763837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69972746</v>
      </c>
      <c r="C4136" s="2" t="s">
        <v>594</v>
      </c>
      <c r="D4136" s="2" t="str">
        <f t="shared" si="63"/>
        <v>Error?</v>
      </c>
    </row>
    <row r="4137" spans="1:4" x14ac:dyDescent="0.2">
      <c r="A4137" s="5">
        <v>4076</v>
      </c>
      <c r="B4137" s="138">
        <f>'Acct Summary 7-8'!D19</f>
        <v>5529979</v>
      </c>
      <c r="C4137" s="2" t="s">
        <v>594</v>
      </c>
      <c r="D4137" s="2" t="str">
        <f t="shared" si="63"/>
        <v>Error?</v>
      </c>
    </row>
    <row r="4138" spans="1:4" x14ac:dyDescent="0.2">
      <c r="A4138" s="5">
        <v>4077</v>
      </c>
      <c r="B4138" s="138">
        <f>'Acct Summary 7-8'!E19</f>
        <v>824850</v>
      </c>
      <c r="C4138" s="2" t="s">
        <v>594</v>
      </c>
      <c r="D4138" s="2" t="str">
        <f t="shared" si="63"/>
        <v>Error?</v>
      </c>
    </row>
    <row r="4139" spans="1:4" x14ac:dyDescent="0.2">
      <c r="A4139" s="5">
        <v>4078</v>
      </c>
      <c r="B4139" s="138">
        <f>'Acct Summary 7-8'!F19</f>
        <v>1258214</v>
      </c>
      <c r="C4139" s="2" t="s">
        <v>594</v>
      </c>
      <c r="D4139" s="2" t="str">
        <f t="shared" si="63"/>
        <v>Error?</v>
      </c>
    </row>
    <row r="4140" spans="1:4" x14ac:dyDescent="0.2">
      <c r="A4140" s="5">
        <v>4079</v>
      </c>
      <c r="B4140" s="138">
        <f>'Acct Summary 7-8'!G19</f>
        <v>1667790</v>
      </c>
      <c r="C4140" s="2" t="s">
        <v>594</v>
      </c>
      <c r="D4140" s="2" t="str">
        <f t="shared" si="63"/>
        <v>Error?</v>
      </c>
    </row>
    <row r="4141" spans="1:4" x14ac:dyDescent="0.2">
      <c r="A4141" s="5">
        <v>4080</v>
      </c>
      <c r="B4141" s="138">
        <f>'Acct Summary 7-8'!H19</f>
        <v>77153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3460000</v>
      </c>
      <c r="C4171" s="2" t="s">
        <v>594</v>
      </c>
      <c r="D4171" s="2" t="str">
        <f t="shared" si="64"/>
        <v>Error?</v>
      </c>
    </row>
    <row r="4172" spans="1:4" x14ac:dyDescent="0.2">
      <c r="A4172" s="5">
        <v>4111</v>
      </c>
      <c r="B4172" s="138">
        <f>'Short-Term Long-Term Debt 24'!J49</f>
        <v>3291423</v>
      </c>
      <c r="C4172" s="2" t="s">
        <v>594</v>
      </c>
      <c r="D4172" s="2" t="str">
        <f t="shared" si="64"/>
        <v>Error?</v>
      </c>
    </row>
    <row r="4173" spans="1:4" x14ac:dyDescent="0.2">
      <c r="A4173" s="5">
        <v>4112</v>
      </c>
      <c r="B4173" s="138">
        <f>'Short-Term Long-Term Debt 24'!H49</f>
        <v>660000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13253345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265945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15539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339557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30290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3460000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1300000</v>
      </c>
      <c r="D5013" s="2" t="str">
        <f t="shared" si="77"/>
        <v>Error?</v>
      </c>
    </row>
    <row r="5014" spans="1:4" x14ac:dyDescent="0.2">
      <c r="A5014" s="5">
        <v>4953</v>
      </c>
      <c r="B5014" s="138">
        <f>'Acct Summary 7-8'!F27</f>
        <v>260000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1560000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369583</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28668364</v>
      </c>
      <c r="D5082" s="2" t="str">
        <f t="shared" si="78"/>
        <v>Error?</v>
      </c>
    </row>
    <row r="5083" spans="1:4" x14ac:dyDescent="0.2">
      <c r="A5083" s="5">
        <v>5022</v>
      </c>
      <c r="B5083" s="138">
        <f>'Revenues 9-14'!C34</f>
        <v>454801</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29492748</v>
      </c>
      <c r="C5087" s="2" t="s">
        <v>594</v>
      </c>
      <c r="D5087" s="2" t="str">
        <f t="shared" si="78"/>
        <v>Error?</v>
      </c>
    </row>
    <row r="5088" spans="1:4" x14ac:dyDescent="0.2">
      <c r="A5088" s="5">
        <v>5027</v>
      </c>
      <c r="B5088" s="138">
        <f>'Revenues 9-14'!C65</f>
        <v>126674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126674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20877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1100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168664</v>
      </c>
      <c r="D5114" s="2" t="str">
        <f t="shared" si="78"/>
        <v>Error?</v>
      </c>
    </row>
    <row r="5115" spans="1:4" x14ac:dyDescent="0.2">
      <c r="A5115" s="5">
        <v>5054</v>
      </c>
      <c r="B5115" s="138">
        <f>'Revenues 9-14'!C98</f>
        <v>3122669</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2011422</v>
      </c>
      <c r="D5118" s="2" t="str">
        <f t="shared" si="78"/>
        <v>Error?</v>
      </c>
    </row>
    <row r="5119" spans="1:4" x14ac:dyDescent="0.2">
      <c r="A5119" s="5">
        <v>5058</v>
      </c>
      <c r="B5119" s="138">
        <f>'Revenues 9-14'!C107</f>
        <v>1142934</v>
      </c>
      <c r="D5119" s="2" t="str">
        <f t="shared" ref="D5119:D5182" si="79">IF(ISBLANK(B5119),"OK",IF(A5119-B5119=0,"OK","Error?"))</f>
        <v>Error?</v>
      </c>
    </row>
    <row r="5120" spans="1:4" x14ac:dyDescent="0.2">
      <c r="A5120" s="5">
        <v>5059</v>
      </c>
      <c r="B5120" s="138">
        <f>'Revenues 9-14'!C108</f>
        <v>6445689</v>
      </c>
      <c r="C5120" s="2" t="s">
        <v>594</v>
      </c>
      <c r="D5120" s="2" t="str">
        <f t="shared" si="79"/>
        <v>Error?</v>
      </c>
    </row>
    <row r="5121" spans="1:4" x14ac:dyDescent="0.2">
      <c r="A5121" s="5">
        <v>5060</v>
      </c>
      <c r="B5121" s="138">
        <f>'Revenues 9-14'!C109</f>
        <v>36087088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10940572</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10940572</v>
      </c>
      <c r="C5125" s="2" t="s">
        <v>594</v>
      </c>
      <c r="D5125" s="2" t="str">
        <f t="shared" si="79"/>
        <v>Error?</v>
      </c>
    </row>
    <row r="5126" spans="1:4" x14ac:dyDescent="0.2">
      <c r="A5126" s="5">
        <v>5065</v>
      </c>
      <c r="B5126" s="138">
        <f>'Revenues 9-14'!C117</f>
        <v>3751446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3751446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3241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342798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4094244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134925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72949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207874</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32442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6360444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6392886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6882244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6882244</v>
      </c>
      <c r="C5326" s="2" t="s">
        <v>594</v>
      </c>
      <c r="D5326" s="2" t="str">
        <f t="shared" si="82"/>
        <v>Error?</v>
      </c>
    </row>
    <row r="5327" spans="1:4" x14ac:dyDescent="0.2">
      <c r="A5327" s="5">
        <v>5266</v>
      </c>
      <c r="B5327" s="138">
        <f>'Revenues 9-14'!C275</f>
        <v>58004148</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18027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18027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35000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2519762</v>
      </c>
      <c r="D5353" s="2" t="str">
        <f t="shared" si="82"/>
        <v>Error?</v>
      </c>
    </row>
    <row r="5354" spans="1:4" x14ac:dyDescent="0.2">
      <c r="A5354" s="5">
        <v>5293</v>
      </c>
      <c r="B5354" s="138">
        <f>'Revenues 9-14'!D107</f>
        <v>156205</v>
      </c>
      <c r="D5354" s="2" t="str">
        <f t="shared" si="82"/>
        <v>Error?</v>
      </c>
    </row>
    <row r="5355" spans="1:4" x14ac:dyDescent="0.2">
      <c r="A5355" s="5">
        <v>5294</v>
      </c>
      <c r="B5355" s="138">
        <f>'Revenues 9-14'!D108</f>
        <v>2710967</v>
      </c>
      <c r="C5355" s="2" t="s">
        <v>594</v>
      </c>
      <c r="D5355" s="2" t="str">
        <f t="shared" si="82"/>
        <v>Error?</v>
      </c>
    </row>
    <row r="5356" spans="1:4" x14ac:dyDescent="0.2">
      <c r="A5356" s="5">
        <v>5295</v>
      </c>
      <c r="B5356" s="138">
        <f>'Revenues 9-14'!D109</f>
        <v>2728994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2728994</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1606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1606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824500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824500</v>
      </c>
      <c r="C5526" s="2" t="s">
        <v>594</v>
      </c>
      <c r="D5526" s="2" t="str">
        <f t="shared" si="85"/>
        <v>Error?</v>
      </c>
    </row>
    <row r="5527" spans="1:4" x14ac:dyDescent="0.2">
      <c r="A5527" s="5">
        <v>5466</v>
      </c>
      <c r="B5527" s="138">
        <f>'Revenues 9-14'!E109</f>
        <v>826106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826106</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1118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1118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1118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773788</v>
      </c>
      <c r="D5617" s="2" t="str">
        <f t="shared" si="86"/>
        <v>Error?</v>
      </c>
    </row>
    <row r="5618" spans="1:4" x14ac:dyDescent="0.2">
      <c r="A5618" s="5">
        <v>5557</v>
      </c>
      <c r="B5618" s="138">
        <f>'Revenues 9-14'!F154</f>
        <v>773788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773788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773788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774906</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14502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14502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1616886</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1631388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151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30290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30290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30441</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1631388</v>
      </c>
      <c r="C6024" s="2" t="s">
        <v>594</v>
      </c>
      <c r="D6024" s="2" t="str">
        <f t="shared" si="93"/>
        <v>Error?</v>
      </c>
    </row>
    <row r="6025" spans="1:5" x14ac:dyDescent="0.2">
      <c r="A6025" s="5">
        <v>5964</v>
      </c>
      <c r="B6025" s="138">
        <f>'Revenues 9-14'!H109</f>
        <v>151</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20877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13747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3794261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193799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2889562</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6076</v>
      </c>
      <c r="D6102" s="2" t="str">
        <f t="shared" si="94"/>
        <v>Error?</v>
      </c>
      <c r="E6102" s="2" t="s">
        <v>199</v>
      </c>
    </row>
    <row r="6103" spans="1:5" x14ac:dyDescent="0.2">
      <c r="A6103">
        <f>A6102+1</f>
        <v>6042</v>
      </c>
      <c r="B6103" s="138">
        <f>'Assets-Liab 5-6'!G9</f>
        <v>2501</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28033</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3818261</v>
      </c>
      <c r="D6142" s="2" t="str">
        <f t="shared" si="94"/>
        <v>Error?</v>
      </c>
      <c r="E6142" s="2" t="s">
        <v>199</v>
      </c>
    </row>
    <row r="6143" spans="1:5" x14ac:dyDescent="0.2">
      <c r="A6143">
        <v>6082</v>
      </c>
      <c r="B6143" s="138">
        <f>'Assets-Liab 5-6'!D27</f>
        <v>40518</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26</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5119557</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6996</v>
      </c>
      <c r="D6172" s="2" t="str">
        <f t="shared" si="95"/>
        <v>Error?</v>
      </c>
      <c r="E6172" s="2" t="s">
        <v>199</v>
      </c>
    </row>
    <row r="6173" spans="1:5" x14ac:dyDescent="0.2">
      <c r="A6173">
        <v>6112</v>
      </c>
      <c r="B6173" s="138">
        <f>'Assets-Liab 5-6'!G30</f>
        <v>190527</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235239</v>
      </c>
      <c r="D6267" s="2" t="str">
        <f t="shared" si="96"/>
        <v>Error?</v>
      </c>
      <c r="E6267" s="2" t="s">
        <v>199</v>
      </c>
    </row>
    <row r="6268" spans="1:5" x14ac:dyDescent="0.2">
      <c r="A6268">
        <v>6207</v>
      </c>
      <c r="B6268" s="138">
        <f>'Acct Summary 7-8'!D82</f>
        <v>-1500985</v>
      </c>
      <c r="D6268" s="2" t="str">
        <f t="shared" si="96"/>
        <v>Error?</v>
      </c>
      <c r="E6268" s="2" t="s">
        <v>199</v>
      </c>
    </row>
    <row r="6269" spans="1:5" x14ac:dyDescent="0.2">
      <c r="A6269">
        <v>6208</v>
      </c>
      <c r="B6269" s="138">
        <f>'Acct Summary 7-8'!E82</f>
        <v>1256</v>
      </c>
      <c r="D6269" s="2" t="str">
        <f t="shared" si="96"/>
        <v>Error?</v>
      </c>
      <c r="E6269" s="2" t="s">
        <v>199</v>
      </c>
    </row>
    <row r="6270" spans="1:5" x14ac:dyDescent="0.2">
      <c r="A6270">
        <v>6209</v>
      </c>
      <c r="B6270" s="138">
        <f>'Acct Summary 7-8'!F82</f>
        <v>-223308</v>
      </c>
      <c r="D6270" s="2" t="str">
        <f t="shared" si="96"/>
        <v>Error?</v>
      </c>
      <c r="E6270" s="2" t="s">
        <v>199</v>
      </c>
    </row>
    <row r="6271" spans="1:5" x14ac:dyDescent="0.2">
      <c r="A6271">
        <v>6210</v>
      </c>
      <c r="B6271" s="138">
        <f>'Acct Summary 7-8'!G82</f>
        <v>-36402</v>
      </c>
      <c r="D6271" s="2" t="str">
        <f t="shared" ref="D6271:D6334" si="97">IF(ISBLANK(B6271),"OK",IF(A6271-B6271=0,"OK","Error?"))</f>
        <v>Error?</v>
      </c>
      <c r="E6271" s="2" t="s">
        <v>199</v>
      </c>
    </row>
    <row r="6272" spans="1:5" x14ac:dyDescent="0.2">
      <c r="A6272">
        <v>6211</v>
      </c>
      <c r="B6272" s="138">
        <f>'Acct Summary 7-8'!H82</f>
        <v>-46712</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2.2599523010080193E-2</v>
      </c>
      <c r="D6276" s="2" t="str">
        <f t="shared" si="97"/>
        <v>Error?</v>
      </c>
      <c r="E6276" s="2" t="s">
        <v>199</v>
      </c>
    </row>
    <row r="6277" spans="1:5" x14ac:dyDescent="0.2">
      <c r="A6277">
        <v>6216</v>
      </c>
      <c r="B6277" s="138">
        <f>'Acct Summary 7-8'!D83</f>
        <v>-0.58664079324320628</v>
      </c>
      <c r="D6277" s="2" t="str">
        <f t="shared" si="97"/>
        <v>Error?</v>
      </c>
      <c r="E6277" s="2" t="s">
        <v>199</v>
      </c>
    </row>
    <row r="6278" spans="1:5" x14ac:dyDescent="0.2">
      <c r="A6278">
        <v>6217</v>
      </c>
      <c r="B6278" s="138">
        <f>'Acct Summary 7-8'!E83</f>
        <v>7.450601208943094E-3</v>
      </c>
      <c r="D6278" s="2" t="str">
        <f t="shared" si="97"/>
        <v>Error?</v>
      </c>
      <c r="E6278" s="2" t="s">
        <v>199</v>
      </c>
    </row>
    <row r="6279" spans="1:5" x14ac:dyDescent="0.2">
      <c r="A6279">
        <v>6218</v>
      </c>
      <c r="B6279" s="138">
        <f>'Acct Summary 7-8'!F83</f>
        <v>-0.78158972384585768</v>
      </c>
      <c r="D6279" s="2" t="str">
        <f t="shared" si="97"/>
        <v>Error?</v>
      </c>
      <c r="E6279" s="2" t="s">
        <v>199</v>
      </c>
    </row>
    <row r="6280" spans="1:5" x14ac:dyDescent="0.2">
      <c r="A6280">
        <v>6219</v>
      </c>
      <c r="B6280" s="138">
        <f>'Acct Summary 7-8'!G83</f>
        <v>-2.5151505310890762E-2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1616886</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35925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1098690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11291</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1072111</v>
      </c>
      <c r="D6880" s="2" t="str">
        <f t="shared" si="106"/>
        <v>Error?</v>
      </c>
    </row>
    <row r="6881" spans="1:4" x14ac:dyDescent="0.2">
      <c r="A6881">
        <v>6820</v>
      </c>
      <c r="B6881" s="138">
        <f>'Expenditures 15-22'!K22</f>
        <v>1072111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47216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16119</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2885</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16846</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35850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8748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66034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74782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4033</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4033</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5078</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5078</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119743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166959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18227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18227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18227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18227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36801</v>
      </c>
      <c r="D7075" s="2" t="str">
        <f t="shared" si="109"/>
        <v>Error?</v>
      </c>
    </row>
    <row r="7076" spans="1:4" x14ac:dyDescent="0.2">
      <c r="A7076">
        <v>7015</v>
      </c>
      <c r="B7076" s="138">
        <f>'Expenditures 15-22'!K218</f>
        <v>36801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887922</v>
      </c>
      <c r="D7251" s="2" t="str">
        <f t="shared" si="112"/>
        <v>Error?</v>
      </c>
    </row>
    <row r="7252" spans="1:4" x14ac:dyDescent="0.2">
      <c r="A7252">
        <f t="shared" si="113"/>
        <v>7191</v>
      </c>
      <c r="B7252" s="138">
        <f>'Expenditures 15-22'!D9</f>
        <v>206843</v>
      </c>
      <c r="D7252" s="2" t="str">
        <f t="shared" si="112"/>
        <v>Error?</v>
      </c>
    </row>
    <row r="7253" spans="1:4" x14ac:dyDescent="0.2">
      <c r="A7253">
        <f t="shared" si="113"/>
        <v>7192</v>
      </c>
      <c r="B7253" s="138">
        <f>'Expenditures 15-22'!E9</f>
        <v>2925</v>
      </c>
      <c r="D7253" s="2" t="str">
        <f t="shared" si="112"/>
        <v>Error?</v>
      </c>
    </row>
    <row r="7254" spans="1:4" x14ac:dyDescent="0.2">
      <c r="A7254">
        <f t="shared" si="113"/>
        <v>7193</v>
      </c>
      <c r="B7254" s="138">
        <f>'Expenditures 15-22'!F9</f>
        <v>1000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185186</v>
      </c>
      <c r="D7624" s="2" t="str">
        <f t="shared" si="124"/>
        <v>Error?</v>
      </c>
      <c r="E7624" s="2" t="s">
        <v>19</v>
      </c>
    </row>
    <row r="7625" spans="1:5" x14ac:dyDescent="0.2">
      <c r="A7625">
        <f t="shared" si="123"/>
        <v>7564</v>
      </c>
      <c r="B7625" s="138">
        <f>'Cap Outlay Deprec 26'!I17</f>
        <v>18518.599999999999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1219652.6000000001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193799</v>
      </c>
      <c r="D7759" s="2" t="str">
        <f t="shared" si="127"/>
        <v>Error?</v>
      </c>
      <c r="E7759" s="4" t="s">
        <v>1400</v>
      </c>
    </row>
    <row r="7760" spans="1:6" x14ac:dyDescent="0.2">
      <c r="A7760">
        <v>7699</v>
      </c>
      <c r="B7760" s="138">
        <f>'Aud Quest 2'!J90</f>
        <v>193799</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0</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B42" sqref="B4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4" t="s">
        <v>1253</v>
      </c>
      <c r="B2" s="2424"/>
      <c r="C2" s="2424"/>
      <c r="D2" s="2424"/>
      <c r="E2" s="2424"/>
      <c r="F2" s="2424"/>
      <c r="G2" s="2424"/>
      <c r="H2" s="2424"/>
      <c r="I2" s="2424"/>
      <c r="J2" s="2424"/>
      <c r="K2" s="2424"/>
      <c r="L2" s="2424"/>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4" t="s">
        <v>1799</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4" t="str">
        <f>COVER!A17</f>
        <v>SpEd Dist Lake Cty (SEDOL)</v>
      </c>
      <c r="B7" s="2405"/>
      <c r="C7" s="2405"/>
      <c r="D7" s="2442"/>
      <c r="E7" s="2443">
        <f>COVER!A13</f>
        <v>34049825060</v>
      </c>
      <c r="F7" s="2444"/>
      <c r="G7" s="2411" t="str">
        <f>COVER!T23</f>
        <v>066-005142</v>
      </c>
      <c r="H7" s="2412"/>
      <c r="I7" s="2412"/>
      <c r="J7" s="2412"/>
      <c r="K7" s="2412"/>
      <c r="L7" s="241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4"/>
      <c r="B9" s="2415"/>
      <c r="C9" s="2415"/>
      <c r="D9" s="2415"/>
      <c r="E9" s="2415"/>
      <c r="F9" s="2416"/>
      <c r="G9" s="2417" t="str">
        <f>COVER!T13</f>
        <v>EDER, CASELLA &amp; CO.</v>
      </c>
      <c r="H9" s="2418"/>
      <c r="I9" s="2418"/>
      <c r="J9" s="2418"/>
      <c r="K9" s="2418"/>
      <c r="L9" s="2419"/>
    </row>
    <row r="10" spans="1:29" ht="13.5" customHeight="1" x14ac:dyDescent="0.2">
      <c r="A10" s="2401">
        <f>COVER!A38</f>
        <v>0</v>
      </c>
      <c r="B10" s="2402"/>
      <c r="C10" s="2402"/>
      <c r="D10" s="2402"/>
      <c r="E10" s="2402"/>
      <c r="F10" s="2403"/>
      <c r="G10" s="2417" t="str">
        <f>COVER!T17</f>
        <v>5400 WEST ELM STREET, SUITE 203</v>
      </c>
      <c r="H10" s="2430"/>
      <c r="I10" s="2430"/>
      <c r="J10" s="2430"/>
      <c r="K10" s="2430"/>
      <c r="L10" s="2431"/>
    </row>
    <row r="11" spans="1:29" ht="13.5" customHeight="1" x14ac:dyDescent="0.2">
      <c r="A11" s="1185" t="s">
        <v>1599</v>
      </c>
      <c r="B11" s="1186"/>
      <c r="C11" s="1187"/>
      <c r="D11" s="1192"/>
      <c r="E11" s="1187"/>
      <c r="F11" s="1191"/>
      <c r="G11" s="2417" t="str">
        <f>COVER!T19</f>
        <v>MCHENRY</v>
      </c>
      <c r="H11" s="2430"/>
      <c r="I11" s="2430"/>
      <c r="J11" s="2430"/>
      <c r="K11" s="2430"/>
      <c r="L11" s="2431"/>
    </row>
    <row r="12" spans="1:29" ht="13.5" customHeight="1" x14ac:dyDescent="0.2">
      <c r="A12" s="2435" t="s">
        <v>1598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1600</v>
      </c>
      <c r="H13" s="2426"/>
      <c r="I13" s="2438" t="str">
        <f>COVER!T25</f>
        <v>CPAS@EDERCASELLA.COM</v>
      </c>
      <c r="J13" s="2439"/>
      <c r="K13" s="2439"/>
      <c r="L13" s="2440"/>
    </row>
    <row r="14" spans="1:29" ht="13.5" customHeight="1" x14ac:dyDescent="0.2">
      <c r="A14" s="2417" t="str">
        <f>COVER!A19</f>
        <v>18160 GAGES LAKE ROAD</v>
      </c>
      <c r="B14" s="2430"/>
      <c r="C14" s="2430"/>
      <c r="D14" s="2430"/>
      <c r="E14" s="2430"/>
      <c r="F14" s="2431"/>
      <c r="G14" s="1196" t="s">
        <v>1247</v>
      </c>
      <c r="H14" s="1194"/>
      <c r="I14" s="1194"/>
      <c r="J14" s="1194"/>
      <c r="K14" s="1194"/>
      <c r="L14" s="1195"/>
    </row>
    <row r="15" spans="1:29" ht="13.5" customHeight="1" x14ac:dyDescent="0.2">
      <c r="A15" s="2417" t="str">
        <f>COVER!A21</f>
        <v>GAGES LAKE</v>
      </c>
      <c r="B15" s="2430"/>
      <c r="C15" s="2430"/>
      <c r="D15" s="2430"/>
      <c r="E15" s="2430"/>
      <c r="F15" s="2431"/>
      <c r="G15" s="2427" t="str">
        <f>COVER!T15</f>
        <v>KEVIN SMITH</v>
      </c>
      <c r="H15" s="2428"/>
      <c r="I15" s="2428"/>
      <c r="J15" s="2428"/>
      <c r="K15" s="2428"/>
      <c r="L15" s="2429"/>
    </row>
    <row r="16" spans="1:29" ht="12.2" customHeight="1" x14ac:dyDescent="0.2">
      <c r="A16" s="2407">
        <f>COVER!A25</f>
        <v>0</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6" t="s">
        <v>1246</v>
      </c>
      <c r="H17" s="1194"/>
      <c r="I17" s="1194"/>
      <c r="J17" s="1194"/>
      <c r="K17" s="1198" t="s">
        <v>1245</v>
      </c>
      <c r="L17" s="1191"/>
      <c r="M17" s="1184"/>
    </row>
    <row r="18" spans="1:13" ht="12.2" customHeight="1" x14ac:dyDescent="0.2">
      <c r="A18" s="2401"/>
      <c r="B18" s="2402"/>
      <c r="C18" s="2402"/>
      <c r="D18" s="2402"/>
      <c r="E18" s="2402"/>
      <c r="F18" s="2403"/>
      <c r="G18" s="2404" t="str">
        <f>COVER!T21</f>
        <v>815-344-1300</v>
      </c>
      <c r="H18" s="2405"/>
      <c r="I18" s="2405"/>
      <c r="J18" s="2405"/>
      <c r="K18" s="2404" t="str">
        <f>COVER!X21</f>
        <v>815-344-1320</v>
      </c>
      <c r="L18" s="240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2100</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2100</v>
      </c>
      <c r="C26" s="1203" t="s">
        <v>1801</v>
      </c>
    </row>
    <row r="27" spans="1:13" s="1199" customFormat="1" ht="9" customHeight="1" x14ac:dyDescent="0.2">
      <c r="B27" s="1204"/>
      <c r="C27" s="1203"/>
    </row>
    <row r="28" spans="1:13" s="1199" customFormat="1" ht="12.2" customHeight="1" x14ac:dyDescent="0.2">
      <c r="A28" s="1206"/>
      <c r="B28" s="1202" t="s">
        <v>2100</v>
      </c>
      <c r="C28" s="1203" t="s">
        <v>1802</v>
      </c>
    </row>
    <row r="29" spans="1:13" s="1199" customFormat="1" ht="9" customHeight="1" x14ac:dyDescent="0.2">
      <c r="A29" s="1206"/>
      <c r="B29" s="1204"/>
      <c r="C29" s="1203"/>
    </row>
    <row r="30" spans="1:13" s="1199" customFormat="1" ht="12.2" customHeight="1" x14ac:dyDescent="0.2">
      <c r="B30" s="1202" t="s">
        <v>2100</v>
      </c>
      <c r="C30" s="1203" t="s">
        <v>1643</v>
      </c>
      <c r="D30" s="1197"/>
      <c r="E30" s="1197"/>
    </row>
    <row r="31" spans="1:13" s="1199" customFormat="1" ht="9" customHeight="1" x14ac:dyDescent="0.2">
      <c r="B31" s="1204"/>
      <c r="C31" s="1203"/>
      <c r="D31" s="1197"/>
      <c r="E31" s="1197"/>
    </row>
    <row r="32" spans="1:13" s="1199" customFormat="1" ht="12.2" customHeight="1" x14ac:dyDescent="0.2">
      <c r="B32" s="1202" t="s">
        <v>2100</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2100</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2100</v>
      </c>
      <c r="C38" s="1203" t="s">
        <v>1647</v>
      </c>
    </row>
    <row r="39" spans="1:8" ht="9" customHeight="1" x14ac:dyDescent="0.2">
      <c r="B39" s="1204"/>
      <c r="C39" s="1207"/>
    </row>
    <row r="40" spans="1:8" s="1199" customFormat="1" ht="13.5" customHeight="1" x14ac:dyDescent="0.2">
      <c r="B40" s="1202" t="s">
        <v>2100</v>
      </c>
      <c r="C40" s="1203" t="s">
        <v>1648</v>
      </c>
    </row>
    <row r="41" spans="1:8" ht="9" customHeight="1" x14ac:dyDescent="0.2">
      <c r="A41" s="1208"/>
      <c r="B41" s="1204"/>
      <c r="C41" s="1207"/>
    </row>
    <row r="42" spans="1:8" s="1199" customFormat="1" ht="13.5" customHeight="1" x14ac:dyDescent="0.2">
      <c r="B42" s="1202" t="s">
        <v>2100</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42" sqref="B4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SpEd Dist Lake Cty (SEDOL)</v>
      </c>
      <c r="B1" s="2441"/>
      <c r="C1" s="2441"/>
      <c r="D1" s="2441"/>
    </row>
    <row r="2" spans="1:11" s="1215" customFormat="1" ht="12.75" x14ac:dyDescent="0.2">
      <c r="A2" s="2446">
        <f>'Single Audit Cover'!E7</f>
        <v>34049825060</v>
      </c>
      <c r="B2" s="2447"/>
      <c r="C2" s="2447"/>
      <c r="D2" s="2447"/>
    </row>
    <row r="3" spans="1:11" s="1215" customFormat="1" ht="12.75" x14ac:dyDescent="0.2">
      <c r="A3" s="2445" t="s">
        <v>1593</v>
      </c>
      <c r="B3" s="2441"/>
      <c r="C3" s="2441"/>
      <c r="D3" s="244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SpEd Dist Lake Cty (SEDOL)</v>
      </c>
      <c r="B1" s="2449"/>
      <c r="C1" s="2449"/>
      <c r="D1" s="2449"/>
      <c r="E1" s="2449"/>
    </row>
    <row r="2" spans="1:5" x14ac:dyDescent="0.2">
      <c r="A2" s="2450">
        <f>'Single Audit Cover'!E7</f>
        <v>34049825060</v>
      </c>
      <c r="B2" s="2450"/>
      <c r="C2" s="2450"/>
      <c r="D2" s="2450"/>
      <c r="E2" s="2450"/>
    </row>
    <row r="3" spans="1:5" ht="4.5" customHeight="1" x14ac:dyDescent="0.2"/>
    <row r="4" spans="1:5" x14ac:dyDescent="0.2">
      <c r="A4" s="2449" t="s">
        <v>1307</v>
      </c>
      <c r="B4" s="2449"/>
      <c r="C4" s="2449"/>
      <c r="D4" s="2449"/>
      <c r="E4" s="2449"/>
    </row>
    <row r="5" spans="1:5" x14ac:dyDescent="0.2">
      <c r="A5" s="2451" t="str">
        <f>'Single Audit Cover'!A4</f>
        <v>Year Ending June 30, 2018</v>
      </c>
      <c r="B5" s="2451"/>
      <c r="C5" s="2451"/>
      <c r="D5" s="2451"/>
      <c r="E5" s="2451"/>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6882244</v>
      </c>
    </row>
    <row r="11" spans="1:5" ht="18" customHeight="1" x14ac:dyDescent="0.2">
      <c r="A11" s="1261" t="s">
        <v>1302</v>
      </c>
      <c r="B11" s="1262"/>
      <c r="C11" s="1262"/>
    </row>
    <row r="12" spans="1:5" x14ac:dyDescent="0.2">
      <c r="A12" s="1261" t="s">
        <v>1301</v>
      </c>
      <c r="B12" s="1262" t="s">
        <v>1300</v>
      </c>
      <c r="C12" s="1262"/>
      <c r="D12" s="1264">
        <f>SUM('Revenues 9-14'!C112:D112,'Revenues 9-14'!F112:G112)</f>
        <v>10940572</v>
      </c>
    </row>
    <row r="13" spans="1:5" x14ac:dyDescent="0.2">
      <c r="A13" s="1261" t="s">
        <v>1299</v>
      </c>
      <c r="B13" s="1262"/>
      <c r="C13" s="1262"/>
    </row>
    <row r="14" spans="1:5" x14ac:dyDescent="0.2">
      <c r="A14" s="1261" t="s">
        <v>1830</v>
      </c>
      <c r="B14" s="1262"/>
      <c r="C14" s="1262"/>
      <c r="D14" s="1264">
        <f>'ICR Computation 30'!E11</f>
        <v>13747</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-15539</v>
      </c>
    </row>
    <row r="19" spans="1:4" ht="13.5" thickBot="1" x14ac:dyDescent="0.25">
      <c r="A19" s="1265" t="s">
        <v>1297</v>
      </c>
      <c r="D19" s="1266">
        <f>SUM(D10:D17)</f>
        <v>17821024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t="s">
        <v>2098</v>
      </c>
      <c r="B24" s="2448"/>
      <c r="D24" s="1268">
        <v>-1111983</v>
      </c>
    </row>
    <row r="25" spans="1:4" x14ac:dyDescent="0.2">
      <c r="A25" s="2448" t="s">
        <v>2099</v>
      </c>
      <c r="B25" s="2448"/>
      <c r="D25" s="1271">
        <v>11081</v>
      </c>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16720122</v>
      </c>
    </row>
    <row r="33" spans="1:4" x14ac:dyDescent="0.2">
      <c r="D33" s="1269"/>
    </row>
    <row r="34" spans="1:4" x14ac:dyDescent="0.2">
      <c r="A34" s="317" t="s">
        <v>1294</v>
      </c>
    </row>
    <row r="35" spans="1:4" x14ac:dyDescent="0.2">
      <c r="A35" s="317" t="s">
        <v>1293</v>
      </c>
      <c r="B35" s="1258" t="s">
        <v>1292</v>
      </c>
      <c r="D35" s="1270">
        <f>' SEFA 2'!F26</f>
        <v>16720122</v>
      </c>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16720122</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activeCell="B42" sqref="B4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SpEd Dist Lake Cty (SEDOL)</v>
      </c>
      <c r="B1" s="2453"/>
      <c r="C1" s="2453"/>
      <c r="D1" s="2453"/>
      <c r="E1" s="2453"/>
      <c r="F1" s="2453"/>
    </row>
    <row r="2" spans="1:7" ht="13.5" customHeight="1" x14ac:dyDescent="0.2">
      <c r="A2" s="2454">
        <f>'Single Audit Cover'!E7</f>
        <v>34049825060</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2130</v>
      </c>
      <c r="B7" s="2452"/>
      <c r="C7" s="2452"/>
      <c r="D7" s="2452"/>
      <c r="E7" s="2452"/>
      <c r="F7" s="2452"/>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2100</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8.75" customHeight="1" x14ac:dyDescent="0.2">
      <c r="A13" s="2452" t="s">
        <v>2131</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t="s">
        <v>2132</v>
      </c>
      <c r="C17" s="1285">
        <v>84.027000000000001</v>
      </c>
      <c r="D17" s="2457">
        <v>9403844</v>
      </c>
      <c r="E17" s="2457"/>
      <c r="F17" s="2457"/>
    </row>
    <row r="18" spans="1:6" ht="20.65" customHeight="1" x14ac:dyDescent="0.2">
      <c r="A18" s="1283" t="s">
        <v>1231</v>
      </c>
      <c r="B18" s="1284" t="s">
        <v>2133</v>
      </c>
      <c r="C18" s="1285">
        <v>84.173000000000002</v>
      </c>
      <c r="D18" s="2457">
        <v>424745</v>
      </c>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2134</v>
      </c>
      <c r="B32" s="2461"/>
      <c r="C32" s="2461"/>
      <c r="D32" s="2461"/>
      <c r="E32" s="2461"/>
      <c r="F32" s="2461"/>
    </row>
    <row r="33" spans="1:6" ht="13.5" customHeight="1" x14ac:dyDescent="0.2">
      <c r="A33" s="328" t="s">
        <v>1509</v>
      </c>
      <c r="B33" s="328"/>
      <c r="C33" s="1288">
        <v>13747</v>
      </c>
      <c r="D33" s="1928"/>
      <c r="E33" s="1286"/>
    </row>
    <row r="34" spans="1:6" ht="13.5" customHeight="1" x14ac:dyDescent="0.2">
      <c r="A34" s="328" t="s">
        <v>1946</v>
      </c>
      <c r="B34" s="328"/>
      <c r="C34" s="1289">
        <v>0</v>
      </c>
      <c r="D34" s="1928" t="s">
        <v>1671</v>
      </c>
      <c r="E34" s="2462">
        <f>+C33+C34</f>
        <v>13747</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401</v>
      </c>
      <c r="D38" s="1928"/>
      <c r="E38" s="1286"/>
    </row>
    <row r="39" spans="1:6" ht="14.25" customHeight="1" x14ac:dyDescent="0.2">
      <c r="A39" s="328"/>
      <c r="B39" s="328" t="s">
        <v>1511</v>
      </c>
      <c r="C39" s="1292" t="s">
        <v>401</v>
      </c>
      <c r="D39" s="1928"/>
      <c r="E39" s="1286"/>
    </row>
    <row r="40" spans="1:6" ht="14.25" customHeight="1" x14ac:dyDescent="0.2">
      <c r="A40" s="328"/>
      <c r="B40" s="328" t="s">
        <v>1512</v>
      </c>
      <c r="C40" s="1292" t="s">
        <v>401</v>
      </c>
      <c r="D40" s="1928"/>
      <c r="E40" s="1286"/>
    </row>
    <row r="41" spans="1:6" ht="14.25" customHeight="1" x14ac:dyDescent="0.2">
      <c r="A41" s="328"/>
      <c r="B41" s="328" t="s">
        <v>1513</v>
      </c>
      <c r="C41" s="1292" t="s">
        <v>401</v>
      </c>
      <c r="D41" s="1928"/>
      <c r="E41" s="1286"/>
    </row>
    <row r="42" spans="1:6" ht="14.25" customHeight="1" x14ac:dyDescent="0.2">
      <c r="A42" s="328" t="s">
        <v>1514</v>
      </c>
      <c r="B42" s="328"/>
      <c r="C42" s="1926" t="s">
        <v>401</v>
      </c>
      <c r="D42" s="1928"/>
      <c r="E42" s="1286"/>
    </row>
    <row r="43" spans="1:6" ht="14.25" customHeight="1" x14ac:dyDescent="0.2">
      <c r="A43" s="328" t="s">
        <v>1515</v>
      </c>
      <c r="B43" s="328"/>
      <c r="C43" s="1293" t="s">
        <v>593</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42" sqref="B4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SpEd Dist Lake Cty (SEDOL)</v>
      </c>
      <c r="C1" s="2465"/>
      <c r="D1" s="2465"/>
      <c r="E1" s="2465"/>
      <c r="F1" s="2465"/>
      <c r="G1" s="2465"/>
      <c r="H1" s="2465"/>
      <c r="I1" s="2465"/>
      <c r="J1" s="2465"/>
      <c r="K1" s="2465"/>
      <c r="L1" s="2465"/>
      <c r="M1" s="2465"/>
    </row>
    <row r="2" spans="2:14" ht="15" x14ac:dyDescent="0.2">
      <c r="B2" s="2454">
        <f>'Single Audit Cover'!E7</f>
        <v>34049825060</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2074</v>
      </c>
      <c r="C11" s="1338"/>
      <c r="D11" s="1339"/>
      <c r="E11" s="1340"/>
      <c r="F11" s="1340"/>
      <c r="G11" s="1340"/>
      <c r="H11" s="1340"/>
      <c r="I11" s="1340"/>
      <c r="J11" s="1340"/>
      <c r="K11" s="1340"/>
      <c r="L11" s="1340">
        <f>+G11+I11+K11</f>
        <v>0</v>
      </c>
      <c r="M11" s="1340"/>
    </row>
    <row r="12" spans="2:14" ht="20.100000000000001" customHeight="1" x14ac:dyDescent="0.2">
      <c r="B12" s="1337" t="s">
        <v>2075</v>
      </c>
      <c r="C12" s="1341"/>
      <c r="D12" s="1342"/>
      <c r="E12" s="1343"/>
      <c r="F12" s="1343"/>
      <c r="G12" s="1343"/>
      <c r="H12" s="1343"/>
      <c r="I12" s="1343"/>
      <c r="J12" s="1343"/>
      <c r="K12" s="1343"/>
      <c r="L12" s="1340">
        <f t="shared" ref="L12:L27" si="0">+G12+I12+K12</f>
        <v>0</v>
      </c>
      <c r="M12" s="1343"/>
    </row>
    <row r="13" spans="2:14" ht="20.100000000000001" customHeight="1" x14ac:dyDescent="0.2">
      <c r="B13" s="1337" t="s">
        <v>2076</v>
      </c>
      <c r="C13" s="1341">
        <v>10.555</v>
      </c>
      <c r="D13" s="1342" t="s">
        <v>2150</v>
      </c>
      <c r="E13" s="1343"/>
      <c r="F13" s="1343">
        <v>13747</v>
      </c>
      <c r="G13" s="1343"/>
      <c r="H13" s="1343"/>
      <c r="I13" s="1343">
        <v>13747</v>
      </c>
      <c r="J13" s="1343"/>
      <c r="K13" s="1343"/>
      <c r="L13" s="1340">
        <f t="shared" si="0"/>
        <v>13747</v>
      </c>
      <c r="M13" s="1343" t="s">
        <v>2077</v>
      </c>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2074</v>
      </c>
      <c r="C15" s="1341"/>
      <c r="D15" s="1342"/>
      <c r="E15" s="1343"/>
      <c r="F15" s="1343"/>
      <c r="G15" s="1343"/>
      <c r="H15" s="1343"/>
      <c r="I15" s="1343"/>
      <c r="J15" s="1343"/>
      <c r="K15" s="1343"/>
      <c r="L15" s="1340">
        <f t="shared" si="0"/>
        <v>0</v>
      </c>
      <c r="M15" s="1343"/>
    </row>
    <row r="16" spans="2:14" ht="20.100000000000001" customHeight="1" x14ac:dyDescent="0.2">
      <c r="B16" s="1337" t="s">
        <v>2078</v>
      </c>
      <c r="C16" s="1341"/>
      <c r="D16" s="1342"/>
      <c r="E16" s="1343"/>
      <c r="F16" s="1343"/>
      <c r="G16" s="1343"/>
      <c r="H16" s="1343"/>
      <c r="I16" s="1343"/>
      <c r="J16" s="1343"/>
      <c r="K16" s="1343"/>
      <c r="L16" s="1340">
        <f t="shared" si="0"/>
        <v>0</v>
      </c>
      <c r="M16" s="1343"/>
    </row>
    <row r="17" spans="2:14" ht="20.100000000000001" customHeight="1" x14ac:dyDescent="0.2">
      <c r="B17" s="1337" t="s">
        <v>2079</v>
      </c>
      <c r="C17" s="1341">
        <v>10.553000000000001</v>
      </c>
      <c r="D17" s="1342" t="s">
        <v>2082</v>
      </c>
      <c r="E17" s="1343">
        <v>54665</v>
      </c>
      <c r="F17" s="1343">
        <v>10332</v>
      </c>
      <c r="G17" s="1343">
        <v>54665</v>
      </c>
      <c r="H17" s="1343"/>
      <c r="I17" s="1343">
        <v>10332</v>
      </c>
      <c r="J17" s="1343"/>
      <c r="K17" s="1343"/>
      <c r="L17" s="1340">
        <f t="shared" si="0"/>
        <v>64997</v>
      </c>
      <c r="M17" s="1343" t="s">
        <v>2077</v>
      </c>
    </row>
    <row r="18" spans="2:14" ht="20.100000000000001" customHeight="1" x14ac:dyDescent="0.2">
      <c r="B18" s="1337" t="s">
        <v>2079</v>
      </c>
      <c r="C18" s="1341">
        <v>10.553000000000001</v>
      </c>
      <c r="D18" s="1342" t="s">
        <v>2083</v>
      </c>
      <c r="E18" s="1343"/>
      <c r="F18" s="1343">
        <v>62617</v>
      </c>
      <c r="G18" s="1343"/>
      <c r="H18" s="1343"/>
      <c r="I18" s="1343">
        <v>62617</v>
      </c>
      <c r="J18" s="1343"/>
      <c r="K18" s="1343"/>
      <c r="L18" s="1340">
        <f t="shared" si="0"/>
        <v>62617</v>
      </c>
      <c r="M18" s="1343" t="s">
        <v>2077</v>
      </c>
    </row>
    <row r="19" spans="2:14" ht="20.100000000000001" customHeight="1" x14ac:dyDescent="0.2">
      <c r="B19" s="1337" t="s">
        <v>2080</v>
      </c>
      <c r="C19" s="1341">
        <v>10.555</v>
      </c>
      <c r="D19" s="1342" t="s">
        <v>2084</v>
      </c>
      <c r="E19" s="1343">
        <v>103341</v>
      </c>
      <c r="F19" s="1343">
        <v>22402</v>
      </c>
      <c r="G19" s="1343">
        <v>103341</v>
      </c>
      <c r="H19" s="1343"/>
      <c r="I19" s="1343">
        <v>22402</v>
      </c>
      <c r="J19" s="1343"/>
      <c r="K19" s="1343"/>
      <c r="L19" s="1340">
        <f t="shared" si="0"/>
        <v>125743</v>
      </c>
      <c r="M19" s="1343" t="s">
        <v>2077</v>
      </c>
    </row>
    <row r="20" spans="2:14" ht="20.100000000000001" customHeight="1" x14ac:dyDescent="0.2">
      <c r="B20" s="1337" t="s">
        <v>2080</v>
      </c>
      <c r="C20" s="1341">
        <v>10.555</v>
      </c>
      <c r="D20" s="1342" t="s">
        <v>2085</v>
      </c>
      <c r="E20" s="1343"/>
      <c r="F20" s="1343">
        <v>112523</v>
      </c>
      <c r="G20" s="1343"/>
      <c r="H20" s="1343"/>
      <c r="I20" s="1343">
        <v>112523</v>
      </c>
      <c r="J20" s="1343"/>
      <c r="K20" s="1343"/>
      <c r="L20" s="1340">
        <f t="shared" si="0"/>
        <v>112523</v>
      </c>
      <c r="M20" s="1343" t="s">
        <v>2077</v>
      </c>
    </row>
    <row r="21" spans="2:14" ht="20.100000000000001" customHeight="1" x14ac:dyDescent="0.2">
      <c r="B21" s="1337" t="s">
        <v>2081</v>
      </c>
      <c r="C21" s="1341"/>
      <c r="D21" s="1342"/>
      <c r="E21" s="1343">
        <f>SUM(E12:E20)</f>
        <v>158006</v>
      </c>
      <c r="F21" s="1343">
        <f>SUM(F12:F20)</f>
        <v>221621</v>
      </c>
      <c r="G21" s="1343">
        <f>SUM(G12:G20)</f>
        <v>158006</v>
      </c>
      <c r="H21" s="1343"/>
      <c r="I21" s="1343">
        <f>SUM(I12:I20)</f>
        <v>221621</v>
      </c>
      <c r="J21" s="1343"/>
      <c r="K21" s="1343"/>
      <c r="L21" s="1340">
        <f t="shared" si="0"/>
        <v>379627</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v>0</v>
      </c>
      <c r="F88" s="276">
        <v>0</v>
      </c>
      <c r="G88" s="276">
        <v>193799</v>
      </c>
      <c r="H88" s="276">
        <v>0</v>
      </c>
      <c r="I88" s="276">
        <v>0</v>
      </c>
      <c r="J88" s="277">
        <f>SUM(E88:I88)</f>
        <v>193799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193799</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2119</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42" sqref="B4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SpEd Dist Lake Cty (SEDOL)</v>
      </c>
      <c r="C1" s="2465"/>
      <c r="D1" s="2465"/>
      <c r="E1" s="2465"/>
      <c r="F1" s="2465"/>
      <c r="G1" s="2465"/>
      <c r="H1" s="2465"/>
      <c r="I1" s="2465"/>
      <c r="J1" s="2465"/>
      <c r="K1" s="2465"/>
      <c r="L1" s="2465"/>
      <c r="M1" s="2465"/>
    </row>
    <row r="2" spans="2:14" ht="15" x14ac:dyDescent="0.2">
      <c r="B2" s="2454">
        <f>'Single Audit Cover'!E7</f>
        <v>34049825060</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2086</v>
      </c>
      <c r="C11" s="1338"/>
      <c r="D11" s="1339"/>
      <c r="E11" s="1340"/>
      <c r="F11" s="1340"/>
      <c r="G11" s="1340"/>
      <c r="H11" s="1340"/>
      <c r="I11" s="1340"/>
      <c r="J11" s="1340"/>
      <c r="K11" s="1340"/>
      <c r="L11" s="1340">
        <f>+G11+I11+K11</f>
        <v>0</v>
      </c>
      <c r="M11" s="1340"/>
    </row>
    <row r="12" spans="2:14" ht="20.100000000000001" customHeight="1" x14ac:dyDescent="0.2">
      <c r="B12" s="1337" t="s">
        <v>2087</v>
      </c>
      <c r="C12" s="1341"/>
      <c r="D12" s="1342"/>
      <c r="E12" s="1343"/>
      <c r="F12" s="1343"/>
      <c r="G12" s="1343"/>
      <c r="H12" s="1343"/>
      <c r="I12" s="1343"/>
      <c r="J12" s="1343"/>
      <c r="K12" s="1343"/>
      <c r="L12" s="1340">
        <f t="shared" ref="L12:L27" si="0">+G12+I12+K12</f>
        <v>0</v>
      </c>
      <c r="M12" s="1343"/>
    </row>
    <row r="13" spans="2:14" ht="20.100000000000001" customHeight="1" x14ac:dyDescent="0.2">
      <c r="B13" s="1337" t="s">
        <v>2088</v>
      </c>
      <c r="C13" s="1341">
        <v>84.027000000000001</v>
      </c>
      <c r="D13" s="1342" t="s">
        <v>2101</v>
      </c>
      <c r="E13" s="1343">
        <v>16057676</v>
      </c>
      <c r="F13" s="1343">
        <f>18996+22088</f>
        <v>41084</v>
      </c>
      <c r="G13" s="1343">
        <v>16079764</v>
      </c>
      <c r="H13" s="1343">
        <v>8902053</v>
      </c>
      <c r="I13" s="1343">
        <v>18996</v>
      </c>
      <c r="J13" s="1343"/>
      <c r="K13" s="1343"/>
      <c r="L13" s="1340">
        <f t="shared" si="0"/>
        <v>16098760</v>
      </c>
      <c r="M13" s="1343">
        <v>18316934</v>
      </c>
    </row>
    <row r="14" spans="2:14" ht="20.100000000000001" customHeight="1" x14ac:dyDescent="0.2">
      <c r="B14" s="1337" t="s">
        <v>2088</v>
      </c>
      <c r="C14" s="1341">
        <v>84.027000000000001</v>
      </c>
      <c r="D14" s="1342" t="s">
        <v>2102</v>
      </c>
      <c r="E14" s="1343"/>
      <c r="F14" s="1343">
        <f>15723204</f>
        <v>15723204</v>
      </c>
      <c r="G14" s="1343"/>
      <c r="H14" s="1343"/>
      <c r="I14" s="1343">
        <v>16629234</v>
      </c>
      <c r="J14" s="1343">
        <v>9403844</v>
      </c>
      <c r="K14" s="1343"/>
      <c r="L14" s="1340">
        <f t="shared" si="0"/>
        <v>16629234</v>
      </c>
      <c r="M14" s="1343">
        <v>18762321</v>
      </c>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s="1278" customFormat="1" ht="20.100000000000001" customHeight="1" x14ac:dyDescent="0.2">
      <c r="B16" s="1956" t="s">
        <v>2089</v>
      </c>
      <c r="C16" s="1957">
        <v>84.173000000000002</v>
      </c>
      <c r="D16" s="1958" t="s">
        <v>2103</v>
      </c>
      <c r="E16" s="1959">
        <v>551958</v>
      </c>
      <c r="F16" s="1959">
        <v>1165</v>
      </c>
      <c r="G16" s="1959">
        <v>553123</v>
      </c>
      <c r="H16" s="1959">
        <v>474774</v>
      </c>
      <c r="I16" s="1959"/>
      <c r="J16" s="1959"/>
      <c r="K16" s="1959"/>
      <c r="L16" s="1960">
        <f t="shared" si="0"/>
        <v>553123</v>
      </c>
      <c r="M16" s="1959">
        <v>612638</v>
      </c>
    </row>
    <row r="17" spans="2:14" s="1278" customFormat="1" ht="20.100000000000001" customHeight="1" x14ac:dyDescent="0.2">
      <c r="B17" s="1956" t="s">
        <v>2089</v>
      </c>
      <c r="C17" s="1957">
        <v>84.173000000000002</v>
      </c>
      <c r="D17" s="1958" t="s">
        <v>2104</v>
      </c>
      <c r="E17" s="1959"/>
      <c r="F17" s="1959">
        <v>456022</v>
      </c>
      <c r="G17" s="1959"/>
      <c r="H17" s="1959"/>
      <c r="I17" s="1959">
        <f>414651+41371</f>
        <v>456022</v>
      </c>
      <c r="J17" s="1959">
        <v>424745</v>
      </c>
      <c r="K17" s="1959"/>
      <c r="L17" s="1960">
        <f t="shared" si="0"/>
        <v>456022</v>
      </c>
      <c r="M17" s="1959">
        <v>526752</v>
      </c>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t="s">
        <v>2090</v>
      </c>
      <c r="C19" s="1341"/>
      <c r="D19" s="1342"/>
      <c r="E19" s="1343">
        <f>SUM(E12:E18)</f>
        <v>16609634</v>
      </c>
      <c r="F19" s="1343">
        <f>SUM(F12:F18)</f>
        <v>16221475</v>
      </c>
      <c r="G19" s="1343">
        <f>SUM(G12:G18)</f>
        <v>16632887</v>
      </c>
      <c r="H19" s="1343"/>
      <c r="I19" s="1343">
        <f>SUM(I12:I18)</f>
        <v>17104252</v>
      </c>
      <c r="J19" s="1343"/>
      <c r="K19" s="1343">
        <f>SUM(K12:K18)</f>
        <v>0</v>
      </c>
      <c r="L19" s="1340">
        <f t="shared" si="0"/>
        <v>33737139</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2091</v>
      </c>
      <c r="C21" s="1341"/>
      <c r="D21" s="1342"/>
      <c r="E21" s="1343"/>
      <c r="F21" s="1343"/>
      <c r="G21" s="1343"/>
      <c r="H21" s="1343"/>
      <c r="I21" s="1343"/>
      <c r="J21" s="1343"/>
      <c r="K21" s="1343"/>
      <c r="L21" s="1340">
        <f t="shared" si="0"/>
        <v>0</v>
      </c>
      <c r="M21" s="1343"/>
    </row>
    <row r="22" spans="2:14" ht="20.100000000000001" customHeight="1" x14ac:dyDescent="0.2">
      <c r="B22" s="1337" t="s">
        <v>2092</v>
      </c>
      <c r="C22" s="1341"/>
      <c r="D22" s="1342"/>
      <c r="E22" s="1343"/>
      <c r="F22" s="1343"/>
      <c r="G22" s="1343"/>
      <c r="H22" s="1343"/>
      <c r="I22" s="1343"/>
      <c r="J22" s="1343"/>
      <c r="K22" s="1343"/>
      <c r="L22" s="1340">
        <f t="shared" si="0"/>
        <v>0</v>
      </c>
      <c r="M22" s="1343"/>
    </row>
    <row r="23" spans="2:14" ht="20.100000000000001" customHeight="1" x14ac:dyDescent="0.2">
      <c r="B23" s="1337" t="s">
        <v>2093</v>
      </c>
      <c r="C23" s="1341"/>
      <c r="D23" s="1342"/>
      <c r="E23" s="1343"/>
      <c r="F23" s="1343"/>
      <c r="G23" s="1343"/>
      <c r="H23" s="1343"/>
      <c r="I23" s="1343"/>
      <c r="J23" s="1343"/>
      <c r="K23" s="1343"/>
      <c r="L23" s="1340">
        <f t="shared" si="0"/>
        <v>0</v>
      </c>
      <c r="M23" s="1343"/>
    </row>
    <row r="24" spans="2:14" ht="20.100000000000001" customHeight="1" x14ac:dyDescent="0.2">
      <c r="B24" s="1337" t="s">
        <v>2094</v>
      </c>
      <c r="C24" s="1341">
        <v>93.778000000000006</v>
      </c>
      <c r="D24" s="1342" t="s">
        <v>2095</v>
      </c>
      <c r="E24" s="1343"/>
      <c r="F24" s="1343">
        <v>277026</v>
      </c>
      <c r="G24" s="1343"/>
      <c r="H24" s="1343"/>
      <c r="I24" s="1343">
        <v>277026</v>
      </c>
      <c r="J24" s="1343"/>
      <c r="K24" s="1343"/>
      <c r="L24" s="1340">
        <f t="shared" si="0"/>
        <v>277026</v>
      </c>
      <c r="M24" s="1343" t="s">
        <v>2077</v>
      </c>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t="s">
        <v>2096</v>
      </c>
      <c r="C26" s="1341"/>
      <c r="D26" s="1342"/>
      <c r="E26" s="1343">
        <f>+E24+E19+' SEFA'!E21</f>
        <v>16767640</v>
      </c>
      <c r="F26" s="1343">
        <f>+F24+F19+' SEFA'!F21</f>
        <v>16720122</v>
      </c>
      <c r="G26" s="1343">
        <f>+G24+G19+' SEFA'!G21</f>
        <v>16790893</v>
      </c>
      <c r="H26" s="1343"/>
      <c r="I26" s="1343">
        <f>+I24+I19+' SEFA'!I21</f>
        <v>17602899</v>
      </c>
      <c r="J26" s="1343"/>
      <c r="K26" s="1343"/>
      <c r="L26" s="1340">
        <f t="shared" si="0"/>
        <v>34393792</v>
      </c>
      <c r="M26" s="1343"/>
    </row>
    <row r="27" spans="2:14" ht="20.100000000000001" customHeight="1" x14ac:dyDescent="0.2">
      <c r="B27" s="1337" t="s">
        <v>2097</v>
      </c>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19" zoomScale="110" zoomScaleNormal="110" workbookViewId="0">
      <selection activeCell="B42" sqref="B4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SpEd Dist Lake Cty (SEDOL)</v>
      </c>
      <c r="C1" s="2473"/>
      <c r="D1" s="2473"/>
      <c r="E1" s="2473"/>
      <c r="F1" s="2473"/>
      <c r="G1" s="2473"/>
      <c r="H1" s="2473"/>
      <c r="I1" s="2473"/>
      <c r="J1" s="1422"/>
    </row>
    <row r="2" spans="2:10" s="317" customFormat="1" ht="12.75" customHeight="1" x14ac:dyDescent="0.2">
      <c r="B2" s="2474">
        <f>'Single Audit Cover'!E7</f>
        <v>34049825060</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t="s">
        <v>2135</v>
      </c>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2117</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2117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2117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2117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2117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t="s">
        <v>2135</v>
      </c>
      <c r="E29" s="2479"/>
      <c r="F29" s="2479"/>
      <c r="G29" s="2479"/>
      <c r="H29" s="2479"/>
      <c r="I29" s="2479"/>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2117</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0" t="s">
        <v>1851</v>
      </c>
      <c r="D37" s="2481"/>
      <c r="E37" s="2481"/>
      <c r="F37" s="2482"/>
      <c r="G37" s="2480" t="s">
        <v>1674</v>
      </c>
      <c r="H37" s="2481"/>
      <c r="I37" s="2482"/>
    </row>
    <row r="38" spans="2:9" ht="16.5" customHeight="1" x14ac:dyDescent="0.2">
      <c r="B38" s="1444">
        <v>84.027000000000001</v>
      </c>
      <c r="C38" s="2468" t="s">
        <v>2136</v>
      </c>
      <c r="D38" s="2469"/>
      <c r="E38" s="2469"/>
      <c r="F38" s="2470"/>
      <c r="G38" s="2483">
        <v>16648230</v>
      </c>
      <c r="H38" s="2484"/>
      <c r="I38" s="2485"/>
    </row>
    <row r="39" spans="2:9" ht="16.5" customHeight="1" x14ac:dyDescent="0.2">
      <c r="B39" s="1444">
        <v>84.173000000000002</v>
      </c>
      <c r="C39" s="2468" t="s">
        <v>2137</v>
      </c>
      <c r="D39" s="2469"/>
      <c r="E39" s="2469"/>
      <c r="F39" s="2470"/>
      <c r="G39" s="2471">
        <v>456022</v>
      </c>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17104252</v>
      </c>
      <c r="H43" s="2489"/>
      <c r="I43" s="2489"/>
    </row>
    <row r="44" spans="2:9" ht="12.75" customHeight="1" x14ac:dyDescent="0.2"/>
    <row r="45" spans="2:9" ht="12.75" customHeight="1" x14ac:dyDescent="0.2">
      <c r="B45" s="1435" t="s">
        <v>1949</v>
      </c>
      <c r="D45" s="2490">
        <v>17602899</v>
      </c>
      <c r="E45" s="2491"/>
    </row>
    <row r="46" spans="2:9" ht="5.25" customHeight="1" x14ac:dyDescent="0.2">
      <c r="B46" s="1445"/>
      <c r="D46" s="1446"/>
      <c r="E46" s="1447"/>
    </row>
    <row r="47" spans="2:9" ht="12.75" customHeight="1" x14ac:dyDescent="0.2">
      <c r="B47" s="1300" t="s">
        <v>1676</v>
      </c>
      <c r="C47" s="1300"/>
      <c r="D47" s="1448">
        <f>+G43/D45</f>
        <v>0.97167245008904501</v>
      </c>
      <c r="E47" s="1449"/>
      <c r="F47" s="1450"/>
      <c r="I47" s="1451"/>
    </row>
    <row r="48" spans="2:9" ht="9.9499999999999993" customHeight="1" x14ac:dyDescent="0.2"/>
    <row r="49" spans="1:9" x14ac:dyDescent="0.2">
      <c r="B49" s="1368" t="s">
        <v>1335</v>
      </c>
      <c r="C49" s="1282"/>
      <c r="D49" s="1282"/>
      <c r="E49" s="2492">
        <v>750000</v>
      </c>
      <c r="F49" s="2492"/>
      <c r="G49" s="2492"/>
      <c r="H49" s="322"/>
    </row>
    <row r="51" spans="1:9" ht="13.5" customHeight="1" x14ac:dyDescent="0.2">
      <c r="B51" s="1368" t="s">
        <v>1334</v>
      </c>
      <c r="C51" s="1282"/>
      <c r="E51" s="1438" t="s">
        <v>2117</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B42" sqref="B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SpEd Dist Lake Cty (SEDOL)</v>
      </c>
      <c r="C1" s="2472"/>
      <c r="D1" s="2472"/>
      <c r="E1" s="2472"/>
      <c r="F1" s="2472"/>
      <c r="G1" s="2472"/>
      <c r="H1" s="2472"/>
      <c r="I1" s="2472"/>
      <c r="J1" s="2472"/>
      <c r="K1" s="2472"/>
      <c r="L1" s="1374"/>
      <c r="M1" s="1374"/>
    </row>
    <row r="2" spans="1:13" ht="12" customHeight="1" x14ac:dyDescent="0.2">
      <c r="B2" s="2474">
        <f>'Single Audit Cover'!E7</f>
        <v>34049825060</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2077</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B42" sqref="B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SpEd Dist Lake Cty (SEDOL)</v>
      </c>
      <c r="C1" s="2499"/>
      <c r="D1" s="2499"/>
      <c r="E1" s="2499"/>
      <c r="F1" s="2499"/>
      <c r="G1" s="2499"/>
      <c r="H1" s="2499"/>
      <c r="I1" s="2499"/>
      <c r="J1" s="2499"/>
      <c r="K1" s="2499"/>
      <c r="L1" s="1465"/>
    </row>
    <row r="2" spans="1:12" ht="12.75" customHeight="1" x14ac:dyDescent="0.2">
      <c r="B2" s="2500">
        <f>'Single Audit Cover'!E7</f>
        <v>34049825060</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2077</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B42" sqref="B4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SpEd Dist Lake Cty (SEDOL)</v>
      </c>
      <c r="C1" s="2472"/>
      <c r="D1" s="2472"/>
      <c r="E1" s="1491"/>
    </row>
    <row r="2" spans="2:5" s="1282" customFormat="1" ht="12.75" customHeight="1" x14ac:dyDescent="0.2">
      <c r="B2" s="2474">
        <f>'Single Audit Cover'!E7</f>
        <v>34049825060</v>
      </c>
      <c r="C2" s="2474"/>
      <c r="D2" s="2474"/>
      <c r="E2" s="1492"/>
    </row>
    <row r="3" spans="2:5" ht="12.75" customHeight="1" x14ac:dyDescent="0.2">
      <c r="B3" s="2495" t="s">
        <v>1866</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2138</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61508048</v>
      </c>
      <c r="E16" s="356"/>
      <c r="F16" s="1755">
        <f>SUM('Acct Summary 7-8'!C17,'Acct Summary 7-8'!D17,'Acct Summary 7-8'!F17)</f>
        <v>62997102</v>
      </c>
      <c r="G16" s="356"/>
      <c r="H16" s="1755">
        <f>SUM(D16-F16)</f>
        <v>-1489054</v>
      </c>
      <c r="I16" s="222"/>
      <c r="J16" s="1755">
        <f>SUM('Acct Summary 7-8'!C81,'Acct Summary 7-8'!D81,'Acct Summary 7-8'!F81,'Acct Summary 7-8'!I81)</f>
        <v>13253345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3460000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AI29" sqref="AI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SpEd Dist Lake Cty (SEDOL)</v>
      </c>
      <c r="E7" s="391"/>
      <c r="G7" s="252"/>
      <c r="H7" s="387"/>
      <c r="I7" s="387"/>
      <c r="J7" s="387"/>
      <c r="K7" s="387"/>
      <c r="L7" s="329"/>
      <c r="M7" s="329"/>
      <c r="N7" s="329"/>
      <c r="O7" s="329"/>
      <c r="P7" s="329"/>
    </row>
    <row r="8" spans="1:18" ht="12.75" x14ac:dyDescent="0.2">
      <c r="A8" s="329"/>
      <c r="B8" s="329"/>
      <c r="C8" s="389" t="s">
        <v>1187</v>
      </c>
      <c r="D8" s="392">
        <f>COVER!A13</f>
        <v>34049825060</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13253345</v>
      </c>
      <c r="I12" s="404"/>
      <c r="J12" s="404"/>
      <c r="K12" s="405">
        <f>TRUNC((H12/H13*100000),5)/100000</f>
        <v>0.21547334739999999</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61508048</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62997102</v>
      </c>
      <c r="I17" s="404"/>
      <c r="J17" s="416"/>
      <c r="K17" s="405">
        <f>TRUNC((H17/H18*100000),5)/100000</f>
        <v>1.0242090921</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61508048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4.7698337999999998</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16071036</v>
      </c>
      <c r="I24" s="422"/>
      <c r="J24" s="422"/>
      <c r="K24" s="423">
        <f>TRUNC(((H24/H25*100000)/100000),2)</f>
        <v>91.83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174991.95</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3460000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AI29" sqref="AI29"/>
      <selection pane="bottomLeft" activeCell="AI29" sqref="AI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3428951</v>
      </c>
      <c r="D4" s="466">
        <v>2599128</v>
      </c>
      <c r="E4" s="466">
        <v>168577</v>
      </c>
      <c r="F4" s="466">
        <v>92857</v>
      </c>
      <c r="G4" s="466">
        <v>1635335</v>
      </c>
      <c r="H4" s="466">
        <v>0</v>
      </c>
      <c r="I4" s="466">
        <v>0</v>
      </c>
      <c r="J4" s="467">
        <v>0</v>
      </c>
      <c r="K4" s="466">
        <v>0</v>
      </c>
      <c r="L4" s="466"/>
      <c r="M4" s="468"/>
      <c r="N4" s="469"/>
    </row>
    <row r="5" spans="1:14" x14ac:dyDescent="0.2">
      <c r="A5" s="463" t="s">
        <v>1049</v>
      </c>
      <c r="B5" s="470">
        <v>120</v>
      </c>
      <c r="C5" s="465">
        <v>9950100</v>
      </c>
      <c r="D5" s="466">
        <v>0</v>
      </c>
      <c r="E5" s="466">
        <v>0</v>
      </c>
      <c r="F5" s="466">
        <v>0</v>
      </c>
      <c r="G5" s="466">
        <v>0</v>
      </c>
      <c r="H5" s="466">
        <v>0</v>
      </c>
      <c r="I5" s="466">
        <v>0</v>
      </c>
      <c r="J5" s="467">
        <v>0</v>
      </c>
      <c r="K5" s="471">
        <v>0</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3794261</v>
      </c>
      <c r="D8" s="467">
        <v>0</v>
      </c>
      <c r="E8" s="467">
        <v>0</v>
      </c>
      <c r="F8" s="467">
        <v>193799</v>
      </c>
      <c r="G8" s="478">
        <v>0</v>
      </c>
      <c r="H8" s="467">
        <v>0</v>
      </c>
      <c r="I8" s="474">
        <v>0</v>
      </c>
      <c r="J8" s="474">
        <v>0</v>
      </c>
      <c r="K8" s="479">
        <v>0</v>
      </c>
      <c r="L8" s="480"/>
      <c r="M8" s="468"/>
      <c r="N8" s="469"/>
    </row>
    <row r="9" spans="1:14" ht="13.5" customHeight="1" x14ac:dyDescent="0.2">
      <c r="A9" s="473" t="s">
        <v>288</v>
      </c>
      <c r="B9" s="470">
        <v>160</v>
      </c>
      <c r="C9" s="476">
        <v>2889562</v>
      </c>
      <c r="D9" s="467">
        <v>0</v>
      </c>
      <c r="E9" s="467">
        <v>0</v>
      </c>
      <c r="F9" s="467">
        <v>6076</v>
      </c>
      <c r="G9" s="467">
        <v>2501</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28033</v>
      </c>
      <c r="D11" s="467">
        <v>0</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161966</v>
      </c>
      <c r="D12" s="466">
        <v>0</v>
      </c>
      <c r="E12" s="466">
        <v>0</v>
      </c>
      <c r="F12" s="466">
        <v>0</v>
      </c>
      <c r="G12" s="466">
        <v>0</v>
      </c>
      <c r="H12" s="466">
        <v>0</v>
      </c>
      <c r="I12" s="466">
        <v>0</v>
      </c>
      <c r="J12" s="467">
        <v>0</v>
      </c>
      <c r="K12" s="466">
        <v>0</v>
      </c>
      <c r="L12" s="466"/>
      <c r="M12" s="469"/>
      <c r="N12" s="469"/>
    </row>
    <row r="13" spans="1:14" ht="13.5" customHeight="1" thickBot="1" x14ac:dyDescent="0.25">
      <c r="A13" s="1758" t="s">
        <v>665</v>
      </c>
      <c r="B13" s="1731"/>
      <c r="C13" s="1759">
        <f>SUM(C4:C12)</f>
        <v>20252873</v>
      </c>
      <c r="D13" s="1759">
        <f t="shared" ref="D13:L13" si="0">SUM(D4:D12)</f>
        <v>2599128</v>
      </c>
      <c r="E13" s="1759">
        <f t="shared" si="0"/>
        <v>168577</v>
      </c>
      <c r="F13" s="1759">
        <f t="shared" si="0"/>
        <v>292732</v>
      </c>
      <c r="G13" s="1759">
        <f t="shared" si="0"/>
        <v>1637836</v>
      </c>
      <c r="H13" s="1759">
        <f t="shared" si="0"/>
        <v>0</v>
      </c>
      <c r="I13" s="1759">
        <f t="shared" si="0"/>
        <v>0</v>
      </c>
      <c r="J13" s="1759">
        <f t="shared" si="0"/>
        <v>0</v>
      </c>
      <c r="K13" s="1759">
        <f t="shared" si="0"/>
        <v>0</v>
      </c>
      <c r="L13" s="1759">
        <f t="shared" si="0"/>
        <v>0</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1260625</v>
      </c>
      <c r="N16" s="484"/>
    </row>
    <row r="17" spans="1:14" s="485" customFormat="1" ht="12.75" customHeight="1" x14ac:dyDescent="0.2">
      <c r="A17" s="482" t="s">
        <v>1470</v>
      </c>
      <c r="B17" s="483">
        <v>230</v>
      </c>
      <c r="C17" s="477"/>
      <c r="D17" s="477"/>
      <c r="E17" s="477"/>
      <c r="F17" s="477"/>
      <c r="G17" s="477"/>
      <c r="H17" s="477"/>
      <c r="I17" s="477"/>
      <c r="J17" s="477"/>
      <c r="K17" s="477"/>
      <c r="L17" s="477"/>
      <c r="M17" s="467">
        <v>42917715</v>
      </c>
      <c r="N17" s="484"/>
    </row>
    <row r="18" spans="1:14" s="485" customFormat="1" ht="12.75" customHeight="1" x14ac:dyDescent="0.2">
      <c r="A18" s="482" t="s">
        <v>1471</v>
      </c>
      <c r="B18" s="483">
        <v>240</v>
      </c>
      <c r="C18" s="477"/>
      <c r="D18" s="477"/>
      <c r="E18" s="477"/>
      <c r="F18" s="477"/>
      <c r="G18" s="477"/>
      <c r="H18" s="477"/>
      <c r="I18" s="477"/>
      <c r="J18" s="477"/>
      <c r="K18" s="477"/>
      <c r="L18" s="477"/>
      <c r="M18" s="467">
        <v>6393339</v>
      </c>
      <c r="N18" s="484"/>
    </row>
    <row r="19" spans="1:14" s="485" customFormat="1" ht="12.75" customHeight="1" x14ac:dyDescent="0.2">
      <c r="A19" s="482" t="s">
        <v>1472</v>
      </c>
      <c r="B19" s="483">
        <v>250</v>
      </c>
      <c r="C19" s="477"/>
      <c r="D19" s="477"/>
      <c r="E19" s="477"/>
      <c r="F19" s="477"/>
      <c r="G19" s="477"/>
      <c r="H19" s="477"/>
      <c r="I19" s="477"/>
      <c r="J19" s="477"/>
      <c r="K19" s="477"/>
      <c r="L19" s="477"/>
      <c r="M19" s="467">
        <v>3189392</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168577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3291423</v>
      </c>
    </row>
    <row r="23" spans="1:14" ht="13.5" customHeight="1" thickBot="1" x14ac:dyDescent="0.25">
      <c r="A23" s="1758" t="s">
        <v>664</v>
      </c>
      <c r="B23" s="1763"/>
      <c r="C23" s="468"/>
      <c r="D23" s="468"/>
      <c r="E23" s="468"/>
      <c r="F23" s="468"/>
      <c r="G23" s="468"/>
      <c r="H23" s="468"/>
      <c r="I23" s="468"/>
      <c r="J23" s="468"/>
      <c r="K23" s="468"/>
      <c r="L23" s="468"/>
      <c r="M23" s="1710">
        <f>SUM(M15:M22)</f>
        <v>53761071</v>
      </c>
      <c r="N23" s="1710">
        <f>SUM(N21:N22)</f>
        <v>3460000</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3818261</v>
      </c>
      <c r="D27" s="467">
        <v>40518</v>
      </c>
      <c r="E27" s="467">
        <v>0</v>
      </c>
      <c r="F27" s="467">
        <v>26</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5119557</v>
      </c>
      <c r="D30" s="474">
        <v>0</v>
      </c>
      <c r="E30" s="467">
        <v>0</v>
      </c>
      <c r="F30" s="467">
        <v>6996</v>
      </c>
      <c r="G30" s="467">
        <v>190527</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906030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0</v>
      </c>
      <c r="M33" s="468"/>
      <c r="N33" s="469"/>
    </row>
    <row r="34" spans="1:14" ht="13.5" customHeight="1" thickBot="1" x14ac:dyDescent="0.25">
      <c r="A34" s="1760" t="s">
        <v>675</v>
      </c>
      <c r="B34" s="1761"/>
      <c r="C34" s="1762">
        <f>SUM(C25:C33)</f>
        <v>9843848</v>
      </c>
      <c r="D34" s="1762">
        <f t="shared" ref="D34:K34" si="1">SUM(D25:D33)</f>
        <v>40518</v>
      </c>
      <c r="E34" s="1762">
        <f t="shared" si="1"/>
        <v>0</v>
      </c>
      <c r="F34" s="1762">
        <f t="shared" si="1"/>
        <v>7022</v>
      </c>
      <c r="G34" s="1762">
        <f t="shared" si="1"/>
        <v>190527</v>
      </c>
      <c r="H34" s="1762">
        <f t="shared" si="1"/>
        <v>0</v>
      </c>
      <c r="I34" s="1762">
        <f t="shared" si="1"/>
        <v>0</v>
      </c>
      <c r="J34" s="1762">
        <f t="shared" si="1"/>
        <v>0</v>
      </c>
      <c r="K34" s="1762">
        <f t="shared" si="1"/>
        <v>0</v>
      </c>
      <c r="L34" s="1743">
        <f>SUM(L33)</f>
        <v>0</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3460000</v>
      </c>
    </row>
    <row r="37" spans="1:14" ht="13.5" thickBot="1" x14ac:dyDescent="0.25">
      <c r="A37" s="1758" t="s">
        <v>674</v>
      </c>
      <c r="B37" s="1763"/>
      <c r="C37" s="477"/>
      <c r="D37" s="477"/>
      <c r="E37" s="477"/>
      <c r="F37" s="477"/>
      <c r="G37" s="477"/>
      <c r="H37" s="477"/>
      <c r="I37" s="477"/>
      <c r="J37" s="477"/>
      <c r="K37" s="477"/>
      <c r="L37" s="480"/>
      <c r="M37" s="468"/>
      <c r="N37" s="1710">
        <f>SUM(N36:N36)</f>
        <v>3460000</v>
      </c>
    </row>
    <row r="38" spans="1:14" s="329" customFormat="1" ht="13.5" customHeight="1" thickTop="1" x14ac:dyDescent="0.2">
      <c r="A38" s="496" t="s">
        <v>440</v>
      </c>
      <c r="B38" s="483">
        <v>714</v>
      </c>
      <c r="C38" s="466">
        <v>703979</v>
      </c>
      <c r="D38" s="466"/>
      <c r="E38" s="466"/>
      <c r="F38" s="466"/>
      <c r="G38" s="466">
        <v>0</v>
      </c>
      <c r="H38" s="466"/>
      <c r="I38" s="466"/>
      <c r="J38" s="467"/>
      <c r="K38" s="466"/>
      <c r="L38" s="481"/>
      <c r="M38" s="497"/>
      <c r="N38" s="497"/>
    </row>
    <row r="39" spans="1:14" s="329" customFormat="1" ht="13.5" customHeight="1" x14ac:dyDescent="0.2">
      <c r="A39" s="496" t="s">
        <v>360</v>
      </c>
      <c r="B39" s="483">
        <v>730</v>
      </c>
      <c r="C39" s="466">
        <v>9705046</v>
      </c>
      <c r="D39" s="466">
        <v>2558610</v>
      </c>
      <c r="E39" s="466">
        <v>168577</v>
      </c>
      <c r="F39" s="466">
        <v>285710</v>
      </c>
      <c r="G39" s="466">
        <v>1447309</v>
      </c>
      <c r="H39" s="466">
        <v>0</v>
      </c>
      <c r="I39" s="466">
        <v>0</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53761071</v>
      </c>
      <c r="N40" s="497"/>
    </row>
    <row r="41" spans="1:14" ht="13.5" customHeight="1" thickBot="1" x14ac:dyDescent="0.25">
      <c r="A41" s="1758" t="s">
        <v>676</v>
      </c>
      <c r="B41" s="1728"/>
      <c r="C41" s="1710">
        <f>(SUM(C34,C37,C38,C39))</f>
        <v>20252873</v>
      </c>
      <c r="D41" s="1710">
        <f t="shared" ref="D41:L41" si="2">SUM(D34,D37,D38:D39)</f>
        <v>2599128</v>
      </c>
      <c r="E41" s="1710">
        <f t="shared" si="2"/>
        <v>168577</v>
      </c>
      <c r="F41" s="1710">
        <f t="shared" si="2"/>
        <v>292732</v>
      </c>
      <c r="G41" s="1710">
        <f t="shared" si="2"/>
        <v>1637836</v>
      </c>
      <c r="H41" s="1710">
        <f t="shared" si="2"/>
        <v>0</v>
      </c>
      <c r="I41" s="1710">
        <f t="shared" si="2"/>
        <v>0</v>
      </c>
      <c r="J41" s="1710">
        <f t="shared" si="2"/>
        <v>0</v>
      </c>
      <c r="K41" s="1710">
        <f t="shared" si="2"/>
        <v>0</v>
      </c>
      <c r="L41" s="1710">
        <f t="shared" si="2"/>
        <v>0</v>
      </c>
      <c r="M41" s="1710">
        <f>SUM(M40)</f>
        <v>53761071</v>
      </c>
      <c r="N41" s="1710">
        <f>SUM(N37)</f>
        <v>3460000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I29" sqref="AI29"/>
      <selection pane="bottomLeft" activeCell="AI29" sqref="AI2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4" t="s">
        <v>1579</v>
      </c>
      <c r="B4" s="1955">
        <v>1000</v>
      </c>
      <c r="C4" s="1764">
        <f>'Revenues 9-14'!C109</f>
        <v>36087088</v>
      </c>
      <c r="D4" s="1764">
        <f>'Revenues 9-14'!D109</f>
        <v>2728994</v>
      </c>
      <c r="E4" s="1764">
        <f>'Revenues 9-14'!E109</f>
        <v>826106</v>
      </c>
      <c r="F4" s="1764">
        <f>'Revenues 9-14'!F109</f>
        <v>1118</v>
      </c>
      <c r="G4" s="1764">
        <f>'Revenues 9-14'!G109</f>
        <v>1631388</v>
      </c>
      <c r="H4" s="1764">
        <f>'Revenues 9-14'!H109</f>
        <v>151</v>
      </c>
      <c r="I4" s="1764">
        <f>'Revenues 9-14'!I109</f>
        <v>0</v>
      </c>
      <c r="J4" s="1764">
        <f>'Revenues 9-14'!J109</f>
        <v>0</v>
      </c>
      <c r="K4" s="1764">
        <f>'Revenues 9-14'!K109</f>
        <v>0</v>
      </c>
      <c r="L4" s="347"/>
    </row>
    <row r="5" spans="1:13" ht="15.75" customHeight="1" x14ac:dyDescent="0.2">
      <c r="A5" s="1598" t="s">
        <v>1580</v>
      </c>
      <c r="B5" s="1599">
        <v>2000</v>
      </c>
      <c r="C5" s="1765">
        <f>'Revenues 9-14'!C114</f>
        <v>10940572</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4094244</v>
      </c>
      <c r="D6" s="1765">
        <f>'Revenues 9-14'!D173</f>
        <v>0</v>
      </c>
      <c r="E6" s="1765">
        <f>'Revenues 9-14'!E173</f>
        <v>0</v>
      </c>
      <c r="F6" s="1765">
        <f>'Revenues 9-14'!F173</f>
        <v>773788</v>
      </c>
      <c r="G6" s="1765">
        <f>'Revenues 9-14'!G173</f>
        <v>0</v>
      </c>
      <c r="H6" s="1765">
        <f>'Revenues 9-14'!H173</f>
        <v>30290</v>
      </c>
      <c r="I6" s="1765">
        <f>'Revenues 9-14'!I173</f>
        <v>0</v>
      </c>
      <c r="J6" s="1765">
        <f>'Revenues 9-14'!J173</f>
        <v>0</v>
      </c>
      <c r="K6" s="1765">
        <f>'Revenues 9-14'!K173</f>
        <v>0</v>
      </c>
      <c r="L6" s="347"/>
      <c r="M6" s="513"/>
    </row>
    <row r="7" spans="1:13" ht="15.75" customHeight="1" x14ac:dyDescent="0.2">
      <c r="A7" s="1598" t="s">
        <v>1582</v>
      </c>
      <c r="B7" s="1600">
        <v>4000</v>
      </c>
      <c r="C7" s="1765">
        <f>'Revenues 9-14'!C274</f>
        <v>6882244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58004148</v>
      </c>
      <c r="D8" s="1710">
        <f t="shared" ref="D8:K8" si="0">SUM(D4:D7)</f>
        <v>2728994</v>
      </c>
      <c r="E8" s="1710">
        <f t="shared" si="0"/>
        <v>826106</v>
      </c>
      <c r="F8" s="1710">
        <f t="shared" si="0"/>
        <v>774906</v>
      </c>
      <c r="G8" s="1710">
        <f t="shared" si="0"/>
        <v>1631388</v>
      </c>
      <c r="H8" s="1710">
        <f t="shared" si="0"/>
        <v>30441</v>
      </c>
      <c r="I8" s="1710">
        <f t="shared" si="0"/>
        <v>0</v>
      </c>
      <c r="J8" s="1710">
        <f t="shared" si="0"/>
        <v>0</v>
      </c>
      <c r="K8" s="1710">
        <f t="shared" si="0"/>
        <v>0</v>
      </c>
      <c r="L8" s="347"/>
    </row>
    <row r="9" spans="1:13" ht="15.75" thickTop="1" x14ac:dyDescent="0.2">
      <c r="A9" s="514" t="s">
        <v>1752</v>
      </c>
      <c r="B9" s="515">
        <v>3998</v>
      </c>
      <c r="C9" s="481">
        <v>13763837</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71767985</v>
      </c>
      <c r="D10" s="1710">
        <f t="shared" ref="D10:K10" si="1">SUM(D8:D9)</f>
        <v>2728994</v>
      </c>
      <c r="E10" s="1710">
        <f t="shared" si="1"/>
        <v>826106</v>
      </c>
      <c r="F10" s="1710">
        <f t="shared" si="1"/>
        <v>774906</v>
      </c>
      <c r="G10" s="1710">
        <f t="shared" si="1"/>
        <v>1631388</v>
      </c>
      <c r="H10" s="1710">
        <f t="shared" si="1"/>
        <v>30441</v>
      </c>
      <c r="I10" s="1710">
        <f t="shared" si="1"/>
        <v>0</v>
      </c>
      <c r="J10" s="1710">
        <f t="shared" si="1"/>
        <v>0</v>
      </c>
      <c r="K10" s="1710">
        <f t="shared" si="1"/>
        <v>0</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25571051</v>
      </c>
      <c r="D12" s="520" t="s">
        <v>1231</v>
      </c>
      <c r="E12" s="468" t="s">
        <v>1231</v>
      </c>
      <c r="F12" s="468" t="s">
        <v>1231</v>
      </c>
      <c r="G12" s="1764">
        <f>'Expenditures 15-22'!K229</f>
        <v>786383</v>
      </c>
      <c r="H12" s="521"/>
      <c r="I12" s="468" t="s">
        <v>1231</v>
      </c>
      <c r="J12" s="468" t="s">
        <v>1231</v>
      </c>
      <c r="K12" s="521" t="s">
        <v>1231</v>
      </c>
      <c r="L12" s="347"/>
    </row>
    <row r="13" spans="1:13" ht="15.75" customHeight="1" x14ac:dyDescent="0.2">
      <c r="A13" s="1598" t="s">
        <v>477</v>
      </c>
      <c r="B13" s="1600">
        <v>2000</v>
      </c>
      <c r="C13" s="1765">
        <f>'Expenditures 15-22'!K74</f>
        <v>19281891</v>
      </c>
      <c r="D13" s="1765">
        <f>'Expenditures 15-22'!K129</f>
        <v>5529979</v>
      </c>
      <c r="E13" s="469" t="s">
        <v>1231</v>
      </c>
      <c r="F13" s="1765">
        <f>'Expenditures 15-22'!K184</f>
        <v>1258214</v>
      </c>
      <c r="G13" s="1765">
        <f>'Expenditures 15-22'!K279</f>
        <v>881407</v>
      </c>
      <c r="H13" s="1765">
        <f>'Expenditures 15-22'!K303</f>
        <v>77153</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11355967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824850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56208909</v>
      </c>
      <c r="D17" s="1710">
        <f t="shared" si="2"/>
        <v>5529979</v>
      </c>
      <c r="E17" s="1710">
        <f t="shared" si="2"/>
        <v>824850</v>
      </c>
      <c r="F17" s="1710">
        <f t="shared" si="2"/>
        <v>1258214</v>
      </c>
      <c r="G17" s="1710">
        <f t="shared" si="2"/>
        <v>1667790</v>
      </c>
      <c r="H17" s="1710">
        <f t="shared" si="2"/>
        <v>77153</v>
      </c>
      <c r="I17" s="468"/>
      <c r="J17" s="1710">
        <f>SUM(J12:J16)</f>
        <v>0</v>
      </c>
      <c r="K17" s="1710">
        <f>SUM(K12:K16)</f>
        <v>0</v>
      </c>
      <c r="L17" s="347"/>
    </row>
    <row r="18" spans="1:12" ht="15" customHeight="1" thickTop="1" x14ac:dyDescent="0.2">
      <c r="A18" s="1766" t="s">
        <v>1753</v>
      </c>
      <c r="B18" s="1767">
        <v>4180</v>
      </c>
      <c r="C18" s="1764">
        <f t="shared" ref="C18:H18" si="3">C9</f>
        <v>13763837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69972746</v>
      </c>
      <c r="D19" s="1710">
        <f t="shared" si="4"/>
        <v>5529979</v>
      </c>
      <c r="E19" s="1710">
        <f t="shared" si="4"/>
        <v>824850</v>
      </c>
      <c r="F19" s="1710">
        <f t="shared" si="4"/>
        <v>1258214</v>
      </c>
      <c r="G19" s="1710">
        <f t="shared" si="4"/>
        <v>1667790</v>
      </c>
      <c r="H19" s="1710">
        <f t="shared" si="4"/>
        <v>77153</v>
      </c>
      <c r="I19" s="468"/>
      <c r="J19" s="1710">
        <f>SUM(J17:J18)</f>
        <v>0</v>
      </c>
      <c r="K19" s="1710">
        <f>SUM(K17:K18)</f>
        <v>0</v>
      </c>
      <c r="L19" s="347"/>
    </row>
    <row r="20" spans="1:12" ht="16.5" thickTop="1" thickBot="1" x14ac:dyDescent="0.25">
      <c r="A20" s="2146" t="s">
        <v>1754</v>
      </c>
      <c r="B20" s="2147"/>
      <c r="C20" s="1768">
        <f>C8-C17</f>
        <v>1795239</v>
      </c>
      <c r="D20" s="1768">
        <f t="shared" ref="D20:K20" si="5">D8-D17</f>
        <v>-2800985</v>
      </c>
      <c r="E20" s="1768">
        <f t="shared" si="5"/>
        <v>1256</v>
      </c>
      <c r="F20" s="1768">
        <f t="shared" si="5"/>
        <v>-483308</v>
      </c>
      <c r="G20" s="1768">
        <f t="shared" si="5"/>
        <v>-36402</v>
      </c>
      <c r="H20" s="1768">
        <f t="shared" si="5"/>
        <v>-46712</v>
      </c>
      <c r="I20" s="1768">
        <f t="shared" si="5"/>
        <v>0</v>
      </c>
      <c r="J20" s="1768">
        <f t="shared" si="5"/>
        <v>0</v>
      </c>
      <c r="K20" s="1768">
        <f t="shared" si="5"/>
        <v>0</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1300000</v>
      </c>
      <c r="E27" s="526"/>
      <c r="F27" s="467">
        <v>260000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1894</v>
      </c>
      <c r="B30" s="527">
        <v>7160</v>
      </c>
      <c r="C30" s="477"/>
      <c r="D30" s="467">
        <v>0</v>
      </c>
      <c r="E30" s="477"/>
      <c r="F30" s="477"/>
      <c r="G30" s="477"/>
      <c r="H30" s="477"/>
      <c r="I30" s="477"/>
      <c r="J30" s="477"/>
      <c r="K30" s="477"/>
      <c r="L30" s="524"/>
    </row>
    <row r="31" spans="1:12" s="485" customFormat="1" ht="26.25" x14ac:dyDescent="0.2">
      <c r="A31" s="1511" t="s">
        <v>1898</v>
      </c>
      <c r="B31" s="527">
        <v>7170</v>
      </c>
      <c r="C31" s="477"/>
      <c r="D31" s="477"/>
      <c r="E31" s="474">
        <v>0</v>
      </c>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0" t="s">
        <v>392</v>
      </c>
      <c r="B44" s="2161"/>
      <c r="C44" s="1725">
        <f>SUM(C24:C43)</f>
        <v>0</v>
      </c>
      <c r="D44" s="1725">
        <f t="shared" ref="D44:K44" si="6">SUM(D24:D43)</f>
        <v>1300000</v>
      </c>
      <c r="E44" s="1725">
        <f t="shared" si="6"/>
        <v>0</v>
      </c>
      <c r="F44" s="1725">
        <f t="shared" si="6"/>
        <v>260000</v>
      </c>
      <c r="G44" s="1725">
        <f t="shared" si="6"/>
        <v>0</v>
      </c>
      <c r="H44" s="1725">
        <f t="shared" si="6"/>
        <v>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1560000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6" t="s">
        <v>460</v>
      </c>
      <c r="B76" s="2137"/>
      <c r="C76" s="1725">
        <f t="shared" ref="C76:K76" si="7">SUM(C47:C75)</f>
        <v>1560000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8" t="s">
        <v>1239</v>
      </c>
      <c r="B77" s="2139"/>
      <c r="C77" s="1725">
        <f t="shared" ref="C77:K77" si="8">C44-C76</f>
        <v>-1560000</v>
      </c>
      <c r="D77" s="1725">
        <f t="shared" si="8"/>
        <v>1300000</v>
      </c>
      <c r="E77" s="1725">
        <f t="shared" si="8"/>
        <v>0</v>
      </c>
      <c r="F77" s="1725">
        <f t="shared" si="8"/>
        <v>260000</v>
      </c>
      <c r="G77" s="1725">
        <f t="shared" si="8"/>
        <v>0</v>
      </c>
      <c r="H77" s="1725">
        <f t="shared" si="8"/>
        <v>0</v>
      </c>
      <c r="I77" s="1725">
        <f t="shared" si="8"/>
        <v>0</v>
      </c>
      <c r="J77" s="1725">
        <f t="shared" si="8"/>
        <v>0</v>
      </c>
      <c r="K77" s="1725">
        <f t="shared" si="8"/>
        <v>0</v>
      </c>
      <c r="L77" s="347"/>
    </row>
    <row r="78" spans="1:12" ht="21.75" customHeight="1" thickTop="1" thickBot="1" x14ac:dyDescent="0.25">
      <c r="A78" s="2142" t="s">
        <v>618</v>
      </c>
      <c r="B78" s="2143"/>
      <c r="C78" s="1724">
        <f t="shared" ref="C78:K78" si="9">C20+C77</f>
        <v>235239</v>
      </c>
      <c r="D78" s="1724">
        <f t="shared" si="9"/>
        <v>-1500985</v>
      </c>
      <c r="E78" s="1724">
        <f t="shared" si="9"/>
        <v>1256</v>
      </c>
      <c r="F78" s="1724">
        <f t="shared" si="9"/>
        <v>-223308</v>
      </c>
      <c r="G78" s="1724">
        <f t="shared" si="9"/>
        <v>-36402</v>
      </c>
      <c r="H78" s="1724">
        <f t="shared" si="9"/>
        <v>-46712</v>
      </c>
      <c r="I78" s="1724">
        <f t="shared" si="9"/>
        <v>0</v>
      </c>
      <c r="J78" s="1724">
        <f t="shared" si="9"/>
        <v>0</v>
      </c>
      <c r="K78" s="1724">
        <f t="shared" si="9"/>
        <v>0</v>
      </c>
      <c r="L78" s="533"/>
    </row>
    <row r="79" spans="1:12" ht="13.5" thickTop="1" x14ac:dyDescent="0.2">
      <c r="A79" s="1516" t="s">
        <v>2070</v>
      </c>
      <c r="B79" s="534"/>
      <c r="C79" s="478">
        <v>10173786</v>
      </c>
      <c r="D79" s="535">
        <v>4059595</v>
      </c>
      <c r="E79" s="535">
        <v>167321</v>
      </c>
      <c r="F79" s="535">
        <v>509018</v>
      </c>
      <c r="G79" s="535">
        <v>1483711</v>
      </c>
      <c r="H79" s="535">
        <v>46712</v>
      </c>
      <c r="I79" s="535">
        <v>0</v>
      </c>
      <c r="J79" s="535">
        <v>0</v>
      </c>
      <c r="K79" s="535">
        <v>0</v>
      </c>
      <c r="L79" s="347"/>
    </row>
    <row r="80" spans="1:12" x14ac:dyDescent="0.2">
      <c r="A80" s="2148" t="s">
        <v>1895</v>
      </c>
      <c r="B80" s="2149"/>
      <c r="C80" s="467"/>
      <c r="D80" s="467"/>
      <c r="E80" s="467"/>
      <c r="F80" s="467"/>
      <c r="G80" s="467"/>
      <c r="H80" s="467"/>
      <c r="I80" s="467"/>
      <c r="J80" s="467"/>
      <c r="K80" s="467"/>
      <c r="L80" s="347"/>
    </row>
    <row r="81" spans="1:12" ht="13.5" thickBot="1" x14ac:dyDescent="0.25">
      <c r="A81" s="2140" t="s">
        <v>2071</v>
      </c>
      <c r="B81" s="2141"/>
      <c r="C81" s="1710">
        <f>(SUM(C78:C80))</f>
        <v>10409025</v>
      </c>
      <c r="D81" s="1710">
        <f>SUM(D78:D80)</f>
        <v>2558610</v>
      </c>
      <c r="E81" s="1710">
        <f t="shared" ref="E81:K81" si="10">SUM(E78:E80)</f>
        <v>168577</v>
      </c>
      <c r="F81" s="1710">
        <f t="shared" si="10"/>
        <v>285710</v>
      </c>
      <c r="G81" s="1710">
        <f t="shared" si="10"/>
        <v>1447309</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235239</v>
      </c>
      <c r="D82" s="538">
        <f t="shared" ref="D82:K82" si="11">(D81-D79)</f>
        <v>-1500985</v>
      </c>
      <c r="E82" s="538">
        <f t="shared" si="11"/>
        <v>1256</v>
      </c>
      <c r="F82" s="538">
        <f t="shared" si="11"/>
        <v>-223308</v>
      </c>
      <c r="G82" s="538">
        <f t="shared" si="11"/>
        <v>-36402</v>
      </c>
      <c r="H82" s="538">
        <f t="shared" si="11"/>
        <v>-46712</v>
      </c>
      <c r="I82" s="538">
        <f t="shared" si="11"/>
        <v>0</v>
      </c>
      <c r="J82" s="538">
        <f t="shared" si="11"/>
        <v>0</v>
      </c>
      <c r="K82" s="538">
        <f t="shared" si="11"/>
        <v>0</v>
      </c>
    </row>
    <row r="83" spans="1:12" ht="14.25" hidden="1" thickTop="1" thickBot="1" x14ac:dyDescent="0.25">
      <c r="A83" s="539" t="s">
        <v>362</v>
      </c>
      <c r="B83" s="464"/>
      <c r="C83" s="540">
        <f>C82/C81</f>
        <v>2.2599523010080193E-2</v>
      </c>
      <c r="D83" s="540">
        <f t="shared" ref="D83:K83" si="12">D82/D81</f>
        <v>-0.58664079324320628</v>
      </c>
      <c r="E83" s="540">
        <f t="shared" si="12"/>
        <v>7.450601208943094E-3</v>
      </c>
      <c r="F83" s="540">
        <f t="shared" si="12"/>
        <v>-0.78158972384585768</v>
      </c>
      <c r="G83" s="540">
        <f t="shared" si="12"/>
        <v>-2.5151505310890762E-2</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I29" sqref="AI29"/>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1902</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0</v>
      </c>
      <c r="D5" s="481">
        <v>0</v>
      </c>
      <c r="E5" s="466">
        <v>0</v>
      </c>
      <c r="F5" s="548">
        <v>0</v>
      </c>
      <c r="G5" s="466">
        <v>0</v>
      </c>
      <c r="H5" s="466">
        <v>0</v>
      </c>
      <c r="I5" s="466">
        <v>0</v>
      </c>
      <c r="J5" s="467">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0</v>
      </c>
      <c r="D7" s="466">
        <v>0</v>
      </c>
      <c r="E7" s="468"/>
      <c r="F7" s="467">
        <v>0</v>
      </c>
      <c r="G7" s="467">
        <v>0</v>
      </c>
      <c r="H7" s="467">
        <v>0</v>
      </c>
      <c r="I7" s="468"/>
      <c r="J7" s="468"/>
      <c r="K7" s="468"/>
    </row>
    <row r="8" spans="1:12" x14ac:dyDescent="0.2">
      <c r="A8" s="463" t="s">
        <v>433</v>
      </c>
      <c r="B8" s="470">
        <v>1150</v>
      </c>
      <c r="C8" s="475"/>
      <c r="D8" s="475"/>
      <c r="E8" s="477"/>
      <c r="F8" s="477"/>
      <c r="G8" s="481">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0</v>
      </c>
      <c r="D16" s="466">
        <v>0</v>
      </c>
      <c r="E16" s="466">
        <v>0</v>
      </c>
      <c r="F16" s="466">
        <v>0</v>
      </c>
      <c r="G16" s="466">
        <v>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369583</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28668364</v>
      </c>
      <c r="D33" s="468"/>
      <c r="E33" s="468"/>
      <c r="F33" s="468"/>
      <c r="G33" s="468"/>
      <c r="H33" s="468"/>
      <c r="I33" s="468"/>
      <c r="J33" s="468"/>
      <c r="K33" s="468"/>
    </row>
    <row r="34" spans="1:11" ht="12.75" customHeight="1" x14ac:dyDescent="0.2">
      <c r="A34" s="463" t="s">
        <v>516</v>
      </c>
      <c r="B34" s="470">
        <v>1343</v>
      </c>
      <c r="C34" s="551">
        <v>454801</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30" t="s">
        <v>559</v>
      </c>
      <c r="B40" s="1731"/>
      <c r="C40" s="1710">
        <f>SUM(C20:C39)</f>
        <v>29492748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0</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126674</v>
      </c>
      <c r="D65" s="466">
        <v>18027</v>
      </c>
      <c r="E65" s="466">
        <v>1606</v>
      </c>
      <c r="F65" s="467">
        <v>1118</v>
      </c>
      <c r="G65" s="466">
        <v>14502</v>
      </c>
      <c r="H65" s="466">
        <v>151</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30" t="s">
        <v>507</v>
      </c>
      <c r="B67" s="1731"/>
      <c r="C67" s="1710">
        <f>SUM(C65:C66)</f>
        <v>126674</v>
      </c>
      <c r="D67" s="1710">
        <f t="shared" ref="D67:K67" si="2">SUM(D65:D66)</f>
        <v>18027</v>
      </c>
      <c r="E67" s="1710">
        <f t="shared" si="2"/>
        <v>1606</v>
      </c>
      <c r="F67" s="1710">
        <f t="shared" si="2"/>
        <v>1118</v>
      </c>
      <c r="G67" s="1710">
        <f t="shared" si="2"/>
        <v>14502</v>
      </c>
      <c r="H67" s="1710">
        <f t="shared" si="2"/>
        <v>151</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20877</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569</v>
      </c>
      <c r="B75" s="1731"/>
      <c r="C75" s="1710">
        <f>SUM(C69:C74)</f>
        <v>20877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1100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30" t="s">
        <v>259</v>
      </c>
      <c r="B82" s="1731"/>
      <c r="C82" s="1729">
        <f>SUM(C77:C81)</f>
        <v>1100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0</v>
      </c>
      <c r="D95" s="551">
        <v>0</v>
      </c>
      <c r="E95" s="521"/>
      <c r="F95" s="521"/>
      <c r="G95" s="521"/>
      <c r="H95" s="521"/>
      <c r="I95" s="521"/>
      <c r="J95" s="521"/>
      <c r="K95" s="521"/>
    </row>
    <row r="96" spans="1:11" ht="12.75" customHeight="1" x14ac:dyDescent="0.2">
      <c r="A96" s="463" t="s">
        <v>409</v>
      </c>
      <c r="B96" s="470">
        <v>1920</v>
      </c>
      <c r="C96" s="551">
        <v>168664</v>
      </c>
      <c r="D96" s="551">
        <v>35000</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3122669</v>
      </c>
      <c r="D98" s="466">
        <v>0</v>
      </c>
      <c r="E98" s="512"/>
      <c r="F98" s="466">
        <v>0</v>
      </c>
      <c r="G98" s="512"/>
      <c r="H98" s="512"/>
      <c r="I98" s="510"/>
      <c r="J98" s="512"/>
      <c r="K98" s="512"/>
    </row>
    <row r="99" spans="1:12" ht="12.75" customHeight="1" x14ac:dyDescent="0.2">
      <c r="A99" s="463" t="s">
        <v>875</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2519762</v>
      </c>
      <c r="E104" s="481">
        <v>824500</v>
      </c>
      <c r="F104" s="467">
        <v>0</v>
      </c>
      <c r="G104" s="467">
        <v>1616886</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2011422</v>
      </c>
      <c r="D106" s="489">
        <v>0</v>
      </c>
      <c r="E106" s="467">
        <v>0</v>
      </c>
      <c r="F106" s="467">
        <v>0</v>
      </c>
      <c r="G106" s="467">
        <v>0</v>
      </c>
      <c r="H106" s="467">
        <v>0</v>
      </c>
      <c r="I106" s="521"/>
      <c r="J106" s="467">
        <v>0</v>
      </c>
      <c r="K106" s="467">
        <v>0</v>
      </c>
    </row>
    <row r="107" spans="1:12" ht="12.75" customHeight="1" x14ac:dyDescent="0.2">
      <c r="A107" s="463" t="s">
        <v>80</v>
      </c>
      <c r="B107" s="470">
        <v>1999</v>
      </c>
      <c r="C107" s="551">
        <v>1142934</v>
      </c>
      <c r="D107" s="466">
        <v>156205</v>
      </c>
      <c r="E107" s="466">
        <v>0</v>
      </c>
      <c r="F107" s="466">
        <v>0</v>
      </c>
      <c r="G107" s="466">
        <v>0</v>
      </c>
      <c r="H107" s="466">
        <v>0</v>
      </c>
      <c r="I107" s="466">
        <v>0</v>
      </c>
      <c r="J107" s="467">
        <v>0</v>
      </c>
      <c r="K107" s="466">
        <v>0</v>
      </c>
    </row>
    <row r="108" spans="1:12" ht="12.75" customHeight="1" thickBot="1" x14ac:dyDescent="0.25">
      <c r="A108" s="1730" t="s">
        <v>508</v>
      </c>
      <c r="B108" s="1734"/>
      <c r="C108" s="1729">
        <f>SUM(C95:C107)</f>
        <v>6445689</v>
      </c>
      <c r="D108" s="1729">
        <f t="shared" ref="D108:K108" si="3">SUM(D95:D107)</f>
        <v>2710967</v>
      </c>
      <c r="E108" s="1729">
        <f t="shared" si="3"/>
        <v>824500</v>
      </c>
      <c r="F108" s="1729">
        <f t="shared" si="3"/>
        <v>0</v>
      </c>
      <c r="G108" s="1729">
        <f t="shared" si="3"/>
        <v>1616886</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36087088</v>
      </c>
      <c r="D109" s="1737">
        <f t="shared" si="4"/>
        <v>2728994</v>
      </c>
      <c r="E109" s="1737">
        <f t="shared" si="4"/>
        <v>826106</v>
      </c>
      <c r="F109" s="1737">
        <f t="shared" si="4"/>
        <v>1118</v>
      </c>
      <c r="G109" s="1737">
        <f t="shared" si="4"/>
        <v>1631388</v>
      </c>
      <c r="H109" s="1737">
        <f t="shared" si="4"/>
        <v>151</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10940572</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839</v>
      </c>
      <c r="B114" s="1739" t="s">
        <v>590</v>
      </c>
      <c r="C114" s="1740">
        <f>SUM(C111:C113)</f>
        <v>10940572</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3751446</v>
      </c>
      <c r="D117" s="481">
        <v>0</v>
      </c>
      <c r="E117" s="466">
        <v>0</v>
      </c>
      <c r="F117" s="481">
        <v>0</v>
      </c>
      <c r="G117" s="481">
        <v>0</v>
      </c>
      <c r="H117" s="466">
        <v>0</v>
      </c>
      <c r="I117" s="468"/>
      <c r="J117" s="467">
        <v>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518" t="s">
        <v>1901</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509</v>
      </c>
      <c r="B121" s="1741"/>
      <c r="C121" s="1729">
        <f t="shared" ref="C121:H121" si="5">SUM(C117:C120)</f>
        <v>3751446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0</v>
      </c>
      <c r="D124" s="561"/>
      <c r="E124" s="468"/>
      <c r="F124" s="548">
        <v>0</v>
      </c>
      <c r="G124" s="468"/>
      <c r="H124" s="468"/>
      <c r="I124" s="468"/>
      <c r="J124" s="468"/>
      <c r="K124" s="468"/>
    </row>
    <row r="125" spans="1:11" ht="12.75" customHeight="1" x14ac:dyDescent="0.2">
      <c r="A125" s="463" t="s">
        <v>1521</v>
      </c>
      <c r="B125" s="562">
        <v>3105</v>
      </c>
      <c r="C125" s="466">
        <v>0</v>
      </c>
      <c r="D125" s="561"/>
      <c r="E125" s="468"/>
      <c r="F125" s="466">
        <v>0</v>
      </c>
      <c r="G125" s="468"/>
      <c r="H125" s="468"/>
      <c r="I125" s="468"/>
      <c r="J125" s="468"/>
      <c r="K125" s="468"/>
    </row>
    <row r="126" spans="1:11" ht="12.75" customHeight="1" x14ac:dyDescent="0.2">
      <c r="A126" s="463" t="s">
        <v>922</v>
      </c>
      <c r="B126" s="562">
        <v>3110</v>
      </c>
      <c r="C126" s="551">
        <v>0</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3241</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0</v>
      </c>
      <c r="G151" s="467">
        <v>0</v>
      </c>
      <c r="H151" s="468"/>
      <c r="I151" s="468"/>
      <c r="J151" s="468"/>
      <c r="K151" s="468"/>
    </row>
    <row r="152" spans="1:11" ht="12.75" customHeight="1" x14ac:dyDescent="0.2">
      <c r="A152" s="463" t="s">
        <v>1117</v>
      </c>
      <c r="B152" s="562">
        <v>3510</v>
      </c>
      <c r="C152" s="551">
        <v>0</v>
      </c>
      <c r="D152" s="466">
        <v>0</v>
      </c>
      <c r="E152" s="561"/>
      <c r="F152" s="466">
        <v>773788</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773788</v>
      </c>
      <c r="G154" s="1729">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0</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0</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339557</v>
      </c>
      <c r="D171" s="580">
        <v>0</v>
      </c>
      <c r="E171" s="580">
        <v>0</v>
      </c>
      <c r="F171" s="580">
        <v>0</v>
      </c>
      <c r="G171" s="581">
        <v>0</v>
      </c>
      <c r="H171" s="582">
        <v>30290</v>
      </c>
      <c r="I171" s="581">
        <v>0</v>
      </c>
      <c r="J171" s="581">
        <v>0</v>
      </c>
      <c r="K171" s="582">
        <v>0</v>
      </c>
    </row>
    <row r="172" spans="1:11" ht="12.75" customHeight="1" thickTop="1" thickBot="1" x14ac:dyDescent="0.25">
      <c r="A172" s="2164" t="s">
        <v>418</v>
      </c>
      <c r="B172" s="2165"/>
      <c r="C172" s="1744">
        <f t="shared" ref="C172:K172" si="6">SUM(C131,C140,C144,C145:C149,C154,C155:C170,C171)</f>
        <v>342798</v>
      </c>
      <c r="D172" s="1744">
        <f t="shared" si="6"/>
        <v>0</v>
      </c>
      <c r="E172" s="1744">
        <f t="shared" si="6"/>
        <v>0</v>
      </c>
      <c r="F172" s="1744">
        <f t="shared" si="6"/>
        <v>773788</v>
      </c>
      <c r="G172" s="1744">
        <f t="shared" si="6"/>
        <v>0</v>
      </c>
      <c r="H172" s="1744">
        <f t="shared" si="6"/>
        <v>30290</v>
      </c>
      <c r="I172" s="1744">
        <f t="shared" si="6"/>
        <v>0</v>
      </c>
      <c r="J172" s="1744">
        <f t="shared" si="6"/>
        <v>0</v>
      </c>
      <c r="K172" s="1725">
        <f t="shared" si="6"/>
        <v>0</v>
      </c>
    </row>
    <row r="173" spans="1:11" ht="12.75" customHeight="1" thickTop="1" thickBot="1" x14ac:dyDescent="0.25">
      <c r="A173" s="1730" t="s">
        <v>419</v>
      </c>
      <c r="B173" s="1736" t="s">
        <v>596</v>
      </c>
      <c r="C173" s="1737">
        <f>SUM(C121,C172)</f>
        <v>4094244</v>
      </c>
      <c r="D173" s="1737">
        <f>SUM(D121,D172)</f>
        <v>0</v>
      </c>
      <c r="E173" s="1737">
        <f>SUM(E121,E172)</f>
        <v>0</v>
      </c>
      <c r="F173" s="1737">
        <f t="shared" ref="F173:K173" si="7">SUM(F121,F172)</f>
        <v>773788</v>
      </c>
      <c r="G173" s="1737">
        <f t="shared" si="7"/>
        <v>0</v>
      </c>
      <c r="H173" s="1737">
        <f t="shared" si="7"/>
        <v>30290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1903</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134925</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72949</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569</v>
      </c>
      <c r="B201" s="1731"/>
      <c r="C201" s="1710">
        <f>SUM(C193:C200)</f>
        <v>207874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32442</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6360444</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467</v>
      </c>
      <c r="B224" s="1731"/>
      <c r="C224" s="1729">
        <f>SUM(C218:C223)</f>
        <v>6392886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0</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265945</v>
      </c>
      <c r="D270" s="576">
        <v>0</v>
      </c>
      <c r="E270" s="468"/>
      <c r="F270" s="576">
        <v>0</v>
      </c>
      <c r="G270" s="576">
        <v>0</v>
      </c>
      <c r="H270" s="468"/>
      <c r="I270" s="468"/>
      <c r="J270" s="468"/>
      <c r="K270" s="468"/>
    </row>
    <row r="271" spans="1:11" ht="12.75" customHeight="1" thickTop="1" thickBot="1" x14ac:dyDescent="0.25">
      <c r="A271" s="463" t="s">
        <v>395</v>
      </c>
      <c r="B271" s="470">
        <v>4992</v>
      </c>
      <c r="C271" s="575">
        <v>15539</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1765</v>
      </c>
      <c r="B273" s="1749"/>
      <c r="C273" s="1737">
        <f t="shared" ref="C273:H273" si="10">SUM(C191,C201,C211,C216,C224,C228,C229,C259:C272)</f>
        <v>6882244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6882244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58004148</v>
      </c>
      <c r="D275" s="1737">
        <f t="shared" si="12"/>
        <v>2728994</v>
      </c>
      <c r="E275" s="1737">
        <f t="shared" si="12"/>
        <v>826106</v>
      </c>
      <c r="F275" s="1737">
        <f t="shared" si="12"/>
        <v>774906</v>
      </c>
      <c r="G275" s="1737">
        <f t="shared" si="12"/>
        <v>1631388</v>
      </c>
      <c r="H275" s="1737">
        <f t="shared" si="12"/>
        <v>30441</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I29" sqref="AI29"/>
      <selection pane="bottomLeft" activeCell="AI29" sqref="AI2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0</v>
      </c>
      <c r="D5" s="466">
        <v>0</v>
      </c>
      <c r="E5" s="466">
        <v>0</v>
      </c>
      <c r="F5" s="466">
        <v>0</v>
      </c>
      <c r="G5" s="466">
        <v>0</v>
      </c>
      <c r="H5" s="466">
        <v>0</v>
      </c>
      <c r="I5" s="467">
        <v>0</v>
      </c>
      <c r="J5" s="467">
        <v>0</v>
      </c>
      <c r="K5" s="1693">
        <f>SUM(C5:J5)</f>
        <v>0</v>
      </c>
      <c r="L5" s="466">
        <v>0</v>
      </c>
    </row>
    <row r="6" spans="1:14" x14ac:dyDescent="0.2">
      <c r="A6" s="1526" t="s">
        <v>1508</v>
      </c>
      <c r="B6" s="615" t="s">
        <v>1506</v>
      </c>
      <c r="C6" s="477"/>
      <c r="D6" s="477"/>
      <c r="E6" s="466">
        <v>0</v>
      </c>
      <c r="F6" s="477"/>
      <c r="G6" s="477"/>
      <c r="H6" s="477"/>
      <c r="I6" s="477"/>
      <c r="J6" s="477"/>
      <c r="K6" s="1693">
        <f>SUM(C6,E6)</f>
        <v>0</v>
      </c>
      <c r="L6" s="466">
        <v>0</v>
      </c>
    </row>
    <row r="7" spans="1:14" x14ac:dyDescent="0.2">
      <c r="A7" s="1526" t="s">
        <v>165</v>
      </c>
      <c r="B7" s="615" t="s">
        <v>1024</v>
      </c>
      <c r="C7" s="467">
        <v>0</v>
      </c>
      <c r="D7" s="467">
        <v>0</v>
      </c>
      <c r="E7" s="467">
        <v>0</v>
      </c>
      <c r="F7" s="467">
        <v>0</v>
      </c>
      <c r="G7" s="467">
        <v>0</v>
      </c>
      <c r="H7" s="467">
        <v>0</v>
      </c>
      <c r="I7" s="467">
        <v>0</v>
      </c>
      <c r="J7" s="467">
        <v>0</v>
      </c>
      <c r="K7" s="1693">
        <f t="shared" ref="K7:K32" si="0">SUM(C7:J7)</f>
        <v>0</v>
      </c>
      <c r="L7" s="466">
        <v>0</v>
      </c>
    </row>
    <row r="8" spans="1:14" x14ac:dyDescent="0.2">
      <c r="A8" s="1526" t="s">
        <v>166</v>
      </c>
      <c r="B8" s="615">
        <v>1200</v>
      </c>
      <c r="C8" s="466">
        <v>15328361</v>
      </c>
      <c r="D8" s="466">
        <v>4002702</v>
      </c>
      <c r="E8" s="466">
        <v>1013212</v>
      </c>
      <c r="F8" s="466">
        <v>298278</v>
      </c>
      <c r="G8" s="466">
        <v>35527</v>
      </c>
      <c r="H8" s="466">
        <v>0</v>
      </c>
      <c r="I8" s="467">
        <v>35925</v>
      </c>
      <c r="J8" s="467">
        <v>0</v>
      </c>
      <c r="K8" s="1693">
        <f t="shared" si="0"/>
        <v>20714005</v>
      </c>
      <c r="L8" s="466">
        <v>21633350</v>
      </c>
    </row>
    <row r="9" spans="1:14" x14ac:dyDescent="0.2">
      <c r="A9" s="1526" t="s">
        <v>745</v>
      </c>
      <c r="B9" s="615" t="s">
        <v>1025</v>
      </c>
      <c r="C9" s="467">
        <v>887922</v>
      </c>
      <c r="D9" s="467">
        <v>206843</v>
      </c>
      <c r="E9" s="467">
        <v>2925</v>
      </c>
      <c r="F9" s="467">
        <v>1000</v>
      </c>
      <c r="G9" s="467">
        <v>0</v>
      </c>
      <c r="H9" s="467">
        <v>0</v>
      </c>
      <c r="I9" s="467">
        <v>0</v>
      </c>
      <c r="J9" s="467">
        <v>0</v>
      </c>
      <c r="K9" s="1693">
        <f t="shared" si="0"/>
        <v>1098690</v>
      </c>
      <c r="L9" s="466">
        <v>1079500</v>
      </c>
    </row>
    <row r="10" spans="1:14" x14ac:dyDescent="0.2">
      <c r="A10" s="1526" t="s">
        <v>746</v>
      </c>
      <c r="B10" s="615">
        <v>1250</v>
      </c>
      <c r="C10" s="466">
        <v>0</v>
      </c>
      <c r="D10" s="466">
        <v>0</v>
      </c>
      <c r="E10" s="466">
        <v>0</v>
      </c>
      <c r="F10" s="466">
        <v>0</v>
      </c>
      <c r="G10" s="466">
        <v>0</v>
      </c>
      <c r="H10" s="466">
        <v>0</v>
      </c>
      <c r="I10" s="467">
        <v>0</v>
      </c>
      <c r="J10" s="467">
        <v>0</v>
      </c>
      <c r="K10" s="1693">
        <f t="shared" si="0"/>
        <v>0</v>
      </c>
      <c r="L10" s="466">
        <v>10000</v>
      </c>
    </row>
    <row r="11" spans="1:14" x14ac:dyDescent="0.2">
      <c r="A11" s="1526" t="s">
        <v>1192</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1019</v>
      </c>
      <c r="B12" s="615">
        <v>1300</v>
      </c>
      <c r="C12" s="466">
        <v>0</v>
      </c>
      <c r="D12" s="466">
        <v>0</v>
      </c>
      <c r="E12" s="466">
        <v>0</v>
      </c>
      <c r="F12" s="466">
        <v>0</v>
      </c>
      <c r="G12" s="466">
        <v>0</v>
      </c>
      <c r="H12" s="466">
        <v>0</v>
      </c>
      <c r="I12" s="467">
        <v>0</v>
      </c>
      <c r="J12" s="467">
        <v>0</v>
      </c>
      <c r="K12" s="1693">
        <f t="shared" si="0"/>
        <v>0</v>
      </c>
      <c r="L12" s="466">
        <v>0</v>
      </c>
    </row>
    <row r="13" spans="1:14" x14ac:dyDescent="0.2">
      <c r="A13" s="1526" t="s">
        <v>747</v>
      </c>
      <c r="B13" s="615">
        <v>1400</v>
      </c>
      <c r="C13" s="466">
        <v>1038358</v>
      </c>
      <c r="D13" s="466">
        <v>296318</v>
      </c>
      <c r="E13" s="466">
        <v>65817</v>
      </c>
      <c r="F13" s="466">
        <v>24488</v>
      </c>
      <c r="G13" s="466">
        <v>0</v>
      </c>
      <c r="H13" s="466">
        <v>0</v>
      </c>
      <c r="I13" s="467">
        <v>0</v>
      </c>
      <c r="J13" s="467">
        <v>0</v>
      </c>
      <c r="K13" s="1693">
        <f t="shared" si="0"/>
        <v>1424981</v>
      </c>
      <c r="L13" s="466">
        <v>1617500</v>
      </c>
    </row>
    <row r="14" spans="1:14" x14ac:dyDescent="0.2">
      <c r="A14" s="1526" t="s">
        <v>1020</v>
      </c>
      <c r="B14" s="615">
        <v>1500</v>
      </c>
      <c r="C14" s="466">
        <v>12271</v>
      </c>
      <c r="D14" s="466">
        <v>921</v>
      </c>
      <c r="E14" s="466">
        <v>0</v>
      </c>
      <c r="F14" s="466">
        <v>0</v>
      </c>
      <c r="G14" s="466">
        <v>0</v>
      </c>
      <c r="H14" s="466">
        <v>0</v>
      </c>
      <c r="I14" s="467">
        <v>0</v>
      </c>
      <c r="J14" s="467">
        <v>0</v>
      </c>
      <c r="K14" s="1693">
        <f t="shared" si="0"/>
        <v>13192</v>
      </c>
      <c r="L14" s="466">
        <v>17200</v>
      </c>
    </row>
    <row r="15" spans="1:14" x14ac:dyDescent="0.2">
      <c r="A15" s="1526" t="s">
        <v>1021</v>
      </c>
      <c r="B15" s="615">
        <v>1600</v>
      </c>
      <c r="C15" s="466">
        <v>469064</v>
      </c>
      <c r="D15" s="466">
        <v>25205</v>
      </c>
      <c r="E15" s="466">
        <v>49557</v>
      </c>
      <c r="F15" s="466">
        <v>4399</v>
      </c>
      <c r="G15" s="466">
        <v>0</v>
      </c>
      <c r="H15" s="466">
        <v>0</v>
      </c>
      <c r="I15" s="467">
        <v>0</v>
      </c>
      <c r="J15" s="467">
        <v>0</v>
      </c>
      <c r="K15" s="1693">
        <f t="shared" si="0"/>
        <v>548225</v>
      </c>
      <c r="L15" s="466">
        <v>548300</v>
      </c>
    </row>
    <row r="16" spans="1:14" x14ac:dyDescent="0.2">
      <c r="A16" s="1526" t="s">
        <v>1044</v>
      </c>
      <c r="B16" s="615" t="s">
        <v>444</v>
      </c>
      <c r="C16" s="466">
        <v>0</v>
      </c>
      <c r="D16" s="466">
        <v>0</v>
      </c>
      <c r="E16" s="466">
        <v>0</v>
      </c>
      <c r="F16" s="466">
        <v>0</v>
      </c>
      <c r="G16" s="466">
        <v>0</v>
      </c>
      <c r="H16" s="466">
        <v>0</v>
      </c>
      <c r="I16" s="467">
        <v>0</v>
      </c>
      <c r="J16" s="467">
        <v>0</v>
      </c>
      <c r="K16" s="1693">
        <f t="shared" si="0"/>
        <v>0</v>
      </c>
      <c r="L16" s="466">
        <v>0</v>
      </c>
    </row>
    <row r="17" spans="1:12" x14ac:dyDescent="0.2">
      <c r="A17" s="1526" t="s">
        <v>748</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1148</v>
      </c>
      <c r="B18" s="615">
        <v>1800</v>
      </c>
      <c r="C18" s="466">
        <v>0</v>
      </c>
      <c r="D18" s="466">
        <v>0</v>
      </c>
      <c r="E18" s="466">
        <v>0</v>
      </c>
      <c r="F18" s="466">
        <v>0</v>
      </c>
      <c r="G18" s="466">
        <v>0</v>
      </c>
      <c r="H18" s="466">
        <v>0</v>
      </c>
      <c r="I18" s="467">
        <v>0</v>
      </c>
      <c r="J18" s="467">
        <v>0</v>
      </c>
      <c r="K18" s="1693">
        <f t="shared" si="0"/>
        <v>0</v>
      </c>
      <c r="L18" s="466">
        <v>0</v>
      </c>
    </row>
    <row r="19" spans="1:12" x14ac:dyDescent="0.2">
      <c r="A19" s="1526" t="s">
        <v>136</v>
      </c>
      <c r="B19" s="615">
        <v>1900</v>
      </c>
      <c r="C19" s="466">
        <v>418460</v>
      </c>
      <c r="D19" s="466">
        <v>150576</v>
      </c>
      <c r="E19" s="466">
        <v>112898</v>
      </c>
      <c r="F19" s="466">
        <v>6622</v>
      </c>
      <c r="G19" s="466">
        <v>0</v>
      </c>
      <c r="H19" s="466">
        <v>0</v>
      </c>
      <c r="I19" s="467">
        <v>11291</v>
      </c>
      <c r="J19" s="467">
        <v>0</v>
      </c>
      <c r="K19" s="1693">
        <f t="shared" si="0"/>
        <v>699847</v>
      </c>
      <c r="L19" s="466">
        <v>701700</v>
      </c>
    </row>
    <row r="20" spans="1:12" x14ac:dyDescent="0.2">
      <c r="A20" s="1527" t="s">
        <v>762</v>
      </c>
      <c r="B20" s="603" t="s">
        <v>749</v>
      </c>
      <c r="C20" s="477"/>
      <c r="D20" s="477"/>
      <c r="E20" s="477"/>
      <c r="F20" s="477"/>
      <c r="G20" s="477"/>
      <c r="H20" s="474">
        <v>0</v>
      </c>
      <c r="I20" s="617"/>
      <c r="J20" s="475"/>
      <c r="K20" s="1693">
        <f t="shared" si="0"/>
        <v>0</v>
      </c>
      <c r="L20" s="471">
        <v>0</v>
      </c>
    </row>
    <row r="21" spans="1:12" x14ac:dyDescent="0.2">
      <c r="A21" s="1527" t="s">
        <v>763</v>
      </c>
      <c r="B21" s="603" t="s">
        <v>750</v>
      </c>
      <c r="C21" s="477"/>
      <c r="D21" s="477"/>
      <c r="E21" s="477"/>
      <c r="F21" s="477"/>
      <c r="G21" s="477"/>
      <c r="H21" s="474">
        <v>0</v>
      </c>
      <c r="I21" s="617"/>
      <c r="J21" s="477"/>
      <c r="K21" s="1693">
        <f t="shared" si="0"/>
        <v>0</v>
      </c>
      <c r="L21" s="471">
        <v>0</v>
      </c>
    </row>
    <row r="22" spans="1:12" x14ac:dyDescent="0.2">
      <c r="A22" s="1527" t="s">
        <v>764</v>
      </c>
      <c r="B22" s="603" t="s">
        <v>751</v>
      </c>
      <c r="C22" s="477"/>
      <c r="D22" s="477"/>
      <c r="E22" s="477"/>
      <c r="F22" s="477"/>
      <c r="G22" s="477"/>
      <c r="H22" s="474">
        <v>1072111</v>
      </c>
      <c r="I22" s="617"/>
      <c r="J22" s="477"/>
      <c r="K22" s="1693">
        <f t="shared" si="0"/>
        <v>1072111</v>
      </c>
      <c r="L22" s="471">
        <v>875500</v>
      </c>
    </row>
    <row r="23" spans="1:12" x14ac:dyDescent="0.2">
      <c r="A23" s="1527" t="s">
        <v>765</v>
      </c>
      <c r="B23" s="603" t="s">
        <v>752</v>
      </c>
      <c r="C23" s="477"/>
      <c r="D23" s="477"/>
      <c r="E23" s="477"/>
      <c r="F23" s="477"/>
      <c r="G23" s="477"/>
      <c r="H23" s="474">
        <v>0</v>
      </c>
      <c r="I23" s="617"/>
      <c r="J23" s="477"/>
      <c r="K23" s="1693">
        <f t="shared" si="0"/>
        <v>0</v>
      </c>
      <c r="L23" s="471">
        <v>0</v>
      </c>
    </row>
    <row r="24" spans="1:12" ht="12.75" customHeight="1" x14ac:dyDescent="0.2">
      <c r="A24" s="1527" t="s">
        <v>766</v>
      </c>
      <c r="B24" s="603" t="s">
        <v>753</v>
      </c>
      <c r="C24" s="477"/>
      <c r="D24" s="477"/>
      <c r="E24" s="477"/>
      <c r="F24" s="477"/>
      <c r="G24" s="477"/>
      <c r="H24" s="474">
        <v>0</v>
      </c>
      <c r="I24" s="617"/>
      <c r="J24" s="477"/>
      <c r="K24" s="1693">
        <f t="shared" si="0"/>
        <v>0</v>
      </c>
      <c r="L24" s="471">
        <v>0</v>
      </c>
    </row>
    <row r="25" spans="1:12" ht="12.75" customHeight="1" x14ac:dyDescent="0.2">
      <c r="A25" s="1527" t="s">
        <v>835</v>
      </c>
      <c r="B25" s="603" t="s">
        <v>754</v>
      </c>
      <c r="C25" s="477"/>
      <c r="D25" s="477"/>
      <c r="E25" s="477"/>
      <c r="F25" s="477"/>
      <c r="G25" s="477"/>
      <c r="H25" s="474">
        <v>0</v>
      </c>
      <c r="I25" s="617"/>
      <c r="J25" s="477"/>
      <c r="K25" s="1693">
        <f t="shared" si="0"/>
        <v>0</v>
      </c>
      <c r="L25" s="471">
        <v>0</v>
      </c>
    </row>
    <row r="26" spans="1:12" x14ac:dyDescent="0.2">
      <c r="A26" s="1527" t="s">
        <v>643</v>
      </c>
      <c r="B26" s="603" t="s">
        <v>755</v>
      </c>
      <c r="C26" s="477"/>
      <c r="D26" s="477"/>
      <c r="E26" s="477"/>
      <c r="F26" s="477"/>
      <c r="G26" s="477"/>
      <c r="H26" s="474">
        <v>0</v>
      </c>
      <c r="I26" s="617"/>
      <c r="J26" s="477"/>
      <c r="K26" s="1693">
        <f t="shared" si="0"/>
        <v>0</v>
      </c>
      <c r="L26" s="471">
        <v>0</v>
      </c>
    </row>
    <row r="27" spans="1:12" x14ac:dyDescent="0.2">
      <c r="A27" s="1527" t="s">
        <v>644</v>
      </c>
      <c r="B27" s="603" t="s">
        <v>756</v>
      </c>
      <c r="C27" s="477"/>
      <c r="D27" s="477"/>
      <c r="E27" s="477"/>
      <c r="F27" s="477"/>
      <c r="G27" s="477"/>
      <c r="H27" s="474">
        <v>0</v>
      </c>
      <c r="I27" s="617"/>
      <c r="J27" s="477"/>
      <c r="K27" s="1693">
        <f t="shared" si="0"/>
        <v>0</v>
      </c>
      <c r="L27" s="471">
        <v>0</v>
      </c>
    </row>
    <row r="28" spans="1:12" x14ac:dyDescent="0.2">
      <c r="A28" s="1527" t="s">
        <v>152</v>
      </c>
      <c r="B28" s="603" t="s">
        <v>757</v>
      </c>
      <c r="C28" s="477"/>
      <c r="D28" s="477"/>
      <c r="E28" s="477"/>
      <c r="F28" s="477"/>
      <c r="G28" s="477"/>
      <c r="H28" s="474">
        <v>0</v>
      </c>
      <c r="I28" s="617"/>
      <c r="J28" s="477"/>
      <c r="K28" s="1693">
        <f t="shared" si="0"/>
        <v>0</v>
      </c>
      <c r="L28" s="471">
        <v>0</v>
      </c>
    </row>
    <row r="29" spans="1:12" x14ac:dyDescent="0.2">
      <c r="A29" s="1527" t="s">
        <v>153</v>
      </c>
      <c r="B29" s="603" t="s">
        <v>758</v>
      </c>
      <c r="C29" s="477"/>
      <c r="D29" s="477"/>
      <c r="E29" s="477"/>
      <c r="F29" s="477"/>
      <c r="G29" s="477"/>
      <c r="H29" s="474">
        <v>0</v>
      </c>
      <c r="I29" s="617"/>
      <c r="J29" s="477"/>
      <c r="K29" s="1693">
        <f t="shared" si="0"/>
        <v>0</v>
      </c>
      <c r="L29" s="471">
        <v>0</v>
      </c>
    </row>
    <row r="30" spans="1:12" x14ac:dyDescent="0.2">
      <c r="A30" s="1527" t="s">
        <v>154</v>
      </c>
      <c r="B30" s="603" t="s">
        <v>759</v>
      </c>
      <c r="C30" s="477"/>
      <c r="D30" s="477"/>
      <c r="E30" s="477"/>
      <c r="F30" s="477"/>
      <c r="G30" s="477"/>
      <c r="H30" s="474">
        <v>0</v>
      </c>
      <c r="I30" s="617"/>
      <c r="J30" s="477"/>
      <c r="K30" s="1693">
        <f t="shared" si="0"/>
        <v>0</v>
      </c>
      <c r="L30" s="471">
        <v>0</v>
      </c>
    </row>
    <row r="31" spans="1:12" x14ac:dyDescent="0.2">
      <c r="A31" s="1527" t="s">
        <v>155</v>
      </c>
      <c r="B31" s="603" t="s">
        <v>760</v>
      </c>
      <c r="C31" s="477"/>
      <c r="D31" s="477"/>
      <c r="E31" s="477"/>
      <c r="F31" s="477"/>
      <c r="G31" s="477"/>
      <c r="H31" s="474">
        <v>0</v>
      </c>
      <c r="I31" s="617"/>
      <c r="J31" s="477"/>
      <c r="K31" s="1693">
        <f t="shared" si="0"/>
        <v>0</v>
      </c>
      <c r="L31" s="471">
        <v>0</v>
      </c>
    </row>
    <row r="32" spans="1:12" x14ac:dyDescent="0.2">
      <c r="A32" s="1528" t="s">
        <v>1191</v>
      </c>
      <c r="B32" s="615" t="s">
        <v>761</v>
      </c>
      <c r="C32" s="477"/>
      <c r="D32" s="477"/>
      <c r="E32" s="477"/>
      <c r="F32" s="477"/>
      <c r="G32" s="477"/>
      <c r="H32" s="474">
        <v>0</v>
      </c>
      <c r="I32" s="617"/>
      <c r="J32" s="480"/>
      <c r="K32" s="1693">
        <f t="shared" si="0"/>
        <v>0</v>
      </c>
      <c r="L32" s="471">
        <v>0</v>
      </c>
    </row>
    <row r="33" spans="1:14" ht="12.75" customHeight="1" thickBot="1" x14ac:dyDescent="0.25">
      <c r="A33" s="1690" t="s">
        <v>1767</v>
      </c>
      <c r="B33" s="1691" t="s">
        <v>591</v>
      </c>
      <c r="C33" s="1692">
        <f>SUM(C5:C32)</f>
        <v>18154436</v>
      </c>
      <c r="D33" s="1692">
        <f t="shared" ref="D33:L33" si="1">SUM(D5:D32)</f>
        <v>4682565</v>
      </c>
      <c r="E33" s="1692">
        <f t="shared" si="1"/>
        <v>1244409</v>
      </c>
      <c r="F33" s="1692">
        <f t="shared" si="1"/>
        <v>334787</v>
      </c>
      <c r="G33" s="1692">
        <f t="shared" si="1"/>
        <v>35527</v>
      </c>
      <c r="H33" s="1692">
        <f t="shared" si="1"/>
        <v>1072111</v>
      </c>
      <c r="I33" s="1692">
        <f t="shared" si="1"/>
        <v>47216</v>
      </c>
      <c r="J33" s="1692">
        <f t="shared" si="1"/>
        <v>0</v>
      </c>
      <c r="K33" s="1692">
        <f t="shared" si="1"/>
        <v>25571051</v>
      </c>
      <c r="L33" s="1692">
        <f t="shared" si="1"/>
        <v>26483050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2392759</v>
      </c>
      <c r="D36" s="481">
        <v>369517</v>
      </c>
      <c r="E36" s="481">
        <v>6862</v>
      </c>
      <c r="F36" s="481">
        <v>1201</v>
      </c>
      <c r="G36" s="481">
        <v>0</v>
      </c>
      <c r="H36" s="481">
        <v>1751</v>
      </c>
      <c r="I36" s="467">
        <v>0</v>
      </c>
      <c r="J36" s="467">
        <v>0</v>
      </c>
      <c r="K36" s="1693">
        <f t="shared" ref="K36:K41" si="2">SUM(C36:J36)</f>
        <v>2772090</v>
      </c>
      <c r="L36" s="466">
        <v>2907200</v>
      </c>
    </row>
    <row r="37" spans="1:14" x14ac:dyDescent="0.2">
      <c r="A37" s="1526" t="s">
        <v>1151</v>
      </c>
      <c r="B37" s="615">
        <v>2120</v>
      </c>
      <c r="C37" s="466">
        <v>0</v>
      </c>
      <c r="D37" s="466">
        <v>0</v>
      </c>
      <c r="E37" s="466">
        <v>0</v>
      </c>
      <c r="F37" s="466">
        <v>0</v>
      </c>
      <c r="G37" s="466">
        <v>0</v>
      </c>
      <c r="H37" s="466">
        <v>0</v>
      </c>
      <c r="I37" s="467">
        <v>0</v>
      </c>
      <c r="J37" s="467">
        <v>0</v>
      </c>
      <c r="K37" s="1693">
        <f t="shared" si="2"/>
        <v>0</v>
      </c>
      <c r="L37" s="466">
        <v>0</v>
      </c>
    </row>
    <row r="38" spans="1:14" x14ac:dyDescent="0.2">
      <c r="A38" s="1526" t="s">
        <v>207</v>
      </c>
      <c r="B38" s="615">
        <v>2130</v>
      </c>
      <c r="C38" s="466">
        <v>4249990</v>
      </c>
      <c r="D38" s="466">
        <v>814507</v>
      </c>
      <c r="E38" s="466">
        <v>49136</v>
      </c>
      <c r="F38" s="466">
        <v>39622</v>
      </c>
      <c r="G38" s="466">
        <v>2727</v>
      </c>
      <c r="H38" s="466">
        <v>643</v>
      </c>
      <c r="I38" s="467">
        <v>16119</v>
      </c>
      <c r="J38" s="467">
        <v>0</v>
      </c>
      <c r="K38" s="1693">
        <f t="shared" si="2"/>
        <v>5172744</v>
      </c>
      <c r="L38" s="466">
        <v>5426550</v>
      </c>
    </row>
    <row r="39" spans="1:14" x14ac:dyDescent="0.2">
      <c r="A39" s="1526" t="s">
        <v>208</v>
      </c>
      <c r="B39" s="615">
        <v>2140</v>
      </c>
      <c r="C39" s="466">
        <v>1057838</v>
      </c>
      <c r="D39" s="466">
        <v>154595</v>
      </c>
      <c r="E39" s="466">
        <v>92538</v>
      </c>
      <c r="F39" s="466">
        <v>7102</v>
      </c>
      <c r="G39" s="466">
        <v>0</v>
      </c>
      <c r="H39" s="466">
        <v>224</v>
      </c>
      <c r="I39" s="467">
        <v>2885</v>
      </c>
      <c r="J39" s="467">
        <v>0</v>
      </c>
      <c r="K39" s="1693">
        <f t="shared" si="2"/>
        <v>1315182</v>
      </c>
      <c r="L39" s="466">
        <v>1298000</v>
      </c>
    </row>
    <row r="40" spans="1:14" x14ac:dyDescent="0.2">
      <c r="A40" s="1526" t="s">
        <v>209</v>
      </c>
      <c r="B40" s="615">
        <v>2150</v>
      </c>
      <c r="C40" s="466">
        <v>2124882</v>
      </c>
      <c r="D40" s="466">
        <v>363296</v>
      </c>
      <c r="E40" s="466">
        <v>493519</v>
      </c>
      <c r="F40" s="466">
        <v>10733</v>
      </c>
      <c r="G40" s="466">
        <v>7075</v>
      </c>
      <c r="H40" s="466">
        <v>5035</v>
      </c>
      <c r="I40" s="467">
        <v>16846</v>
      </c>
      <c r="J40" s="467">
        <v>0</v>
      </c>
      <c r="K40" s="1693">
        <f t="shared" si="2"/>
        <v>3021386</v>
      </c>
      <c r="L40" s="466">
        <v>3301000</v>
      </c>
    </row>
    <row r="41" spans="1:14" x14ac:dyDescent="0.2">
      <c r="A41" s="1526" t="s">
        <v>1768</v>
      </c>
      <c r="B41" s="615">
        <v>2190</v>
      </c>
      <c r="C41" s="466">
        <v>0</v>
      </c>
      <c r="D41" s="466">
        <v>0</v>
      </c>
      <c r="E41" s="466">
        <v>0</v>
      </c>
      <c r="F41" s="466">
        <v>0</v>
      </c>
      <c r="G41" s="466">
        <v>0</v>
      </c>
      <c r="H41" s="466">
        <v>0</v>
      </c>
      <c r="I41" s="467">
        <v>0</v>
      </c>
      <c r="J41" s="467">
        <v>0</v>
      </c>
      <c r="K41" s="1693">
        <f t="shared" si="2"/>
        <v>0</v>
      </c>
      <c r="L41" s="466">
        <v>0</v>
      </c>
    </row>
    <row r="42" spans="1:14" ht="12.75" customHeight="1" thickBot="1" x14ac:dyDescent="0.25">
      <c r="A42" s="1690" t="s">
        <v>581</v>
      </c>
      <c r="B42" s="1691" t="s">
        <v>740</v>
      </c>
      <c r="C42" s="1692">
        <f>SUM(C36:C41)</f>
        <v>9825469</v>
      </c>
      <c r="D42" s="1692">
        <f t="shared" ref="D42:L42" si="3">SUM(D36:D41)</f>
        <v>1701915</v>
      </c>
      <c r="E42" s="1692">
        <f t="shared" si="3"/>
        <v>642055</v>
      </c>
      <c r="F42" s="1692">
        <f t="shared" si="3"/>
        <v>58658</v>
      </c>
      <c r="G42" s="1692">
        <f t="shared" si="3"/>
        <v>9802</v>
      </c>
      <c r="H42" s="1692">
        <f t="shared" si="3"/>
        <v>7653</v>
      </c>
      <c r="I42" s="1692">
        <f t="shared" si="3"/>
        <v>35850</v>
      </c>
      <c r="J42" s="1692">
        <f t="shared" si="3"/>
        <v>0</v>
      </c>
      <c r="K42" s="1692">
        <f t="shared" si="3"/>
        <v>12281402</v>
      </c>
      <c r="L42" s="1692">
        <f t="shared" si="3"/>
        <v>12932750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265480</v>
      </c>
      <c r="D44" s="481">
        <v>97168</v>
      </c>
      <c r="E44" s="481">
        <v>175326</v>
      </c>
      <c r="F44" s="481">
        <v>145858</v>
      </c>
      <c r="G44" s="481">
        <v>0</v>
      </c>
      <c r="H44" s="481">
        <v>0</v>
      </c>
      <c r="I44" s="467">
        <v>8748</v>
      </c>
      <c r="J44" s="467">
        <v>0</v>
      </c>
      <c r="K44" s="1694">
        <f>SUM(C44:J44)</f>
        <v>692580</v>
      </c>
      <c r="L44" s="481">
        <v>751350</v>
      </c>
    </row>
    <row r="45" spans="1:14" x14ac:dyDescent="0.2">
      <c r="A45" s="1526" t="s">
        <v>869</v>
      </c>
      <c r="B45" s="615">
        <v>2220</v>
      </c>
      <c r="C45" s="466">
        <v>115855</v>
      </c>
      <c r="D45" s="466">
        <v>26952</v>
      </c>
      <c r="E45" s="466">
        <v>354492</v>
      </c>
      <c r="F45" s="466">
        <v>82601</v>
      </c>
      <c r="G45" s="466">
        <v>77431</v>
      </c>
      <c r="H45" s="466">
        <v>0</v>
      </c>
      <c r="I45" s="467">
        <v>66034</v>
      </c>
      <c r="J45" s="467">
        <v>0</v>
      </c>
      <c r="K45" s="1694">
        <f>SUM(C45:J45)</f>
        <v>723365</v>
      </c>
      <c r="L45" s="466">
        <v>897600</v>
      </c>
    </row>
    <row r="46" spans="1:14" x14ac:dyDescent="0.2">
      <c r="A46" s="1526" t="s">
        <v>870</v>
      </c>
      <c r="B46" s="615">
        <v>2230</v>
      </c>
      <c r="C46" s="466">
        <v>0</v>
      </c>
      <c r="D46" s="466">
        <v>0</v>
      </c>
      <c r="E46" s="466">
        <v>0</v>
      </c>
      <c r="F46" s="466">
        <v>0</v>
      </c>
      <c r="G46" s="466">
        <v>0</v>
      </c>
      <c r="H46" s="466">
        <v>0</v>
      </c>
      <c r="I46" s="467">
        <v>0</v>
      </c>
      <c r="J46" s="467">
        <v>0</v>
      </c>
      <c r="K46" s="1694">
        <f>SUM(C46:J46)</f>
        <v>0</v>
      </c>
      <c r="L46" s="466">
        <v>0</v>
      </c>
    </row>
    <row r="47" spans="1:14" ht="12.75" customHeight="1" thickBot="1" x14ac:dyDescent="0.25">
      <c r="A47" s="1690" t="s">
        <v>582</v>
      </c>
      <c r="B47" s="1691" t="s">
        <v>32</v>
      </c>
      <c r="C47" s="1692">
        <f>SUM(C44:C46)</f>
        <v>381335</v>
      </c>
      <c r="D47" s="1692">
        <f t="shared" ref="D47:K47" si="4">SUM(D44:D46)</f>
        <v>124120</v>
      </c>
      <c r="E47" s="1692">
        <f t="shared" si="4"/>
        <v>529818</v>
      </c>
      <c r="F47" s="1692">
        <f t="shared" si="4"/>
        <v>228459</v>
      </c>
      <c r="G47" s="1692">
        <f t="shared" si="4"/>
        <v>77431</v>
      </c>
      <c r="H47" s="1692">
        <f t="shared" si="4"/>
        <v>0</v>
      </c>
      <c r="I47" s="1692">
        <f t="shared" si="4"/>
        <v>74782</v>
      </c>
      <c r="J47" s="1692">
        <f t="shared" si="4"/>
        <v>0</v>
      </c>
      <c r="K47" s="1692">
        <f t="shared" si="4"/>
        <v>1415945</v>
      </c>
      <c r="L47" s="1692">
        <f>SUM(L44:L46)</f>
        <v>1648950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0</v>
      </c>
      <c r="D49" s="481">
        <v>111180</v>
      </c>
      <c r="E49" s="481">
        <v>626295</v>
      </c>
      <c r="F49" s="481">
        <v>7801</v>
      </c>
      <c r="G49" s="481">
        <v>0</v>
      </c>
      <c r="H49" s="481">
        <v>0</v>
      </c>
      <c r="I49" s="467">
        <v>0</v>
      </c>
      <c r="J49" s="467">
        <v>0</v>
      </c>
      <c r="K49" s="1694">
        <f>SUM(C49:J49)</f>
        <v>745276</v>
      </c>
      <c r="L49" s="481">
        <v>655000</v>
      </c>
    </row>
    <row r="50" spans="1:14" x14ac:dyDescent="0.2">
      <c r="A50" s="1526" t="s">
        <v>872</v>
      </c>
      <c r="B50" s="615">
        <v>2320</v>
      </c>
      <c r="C50" s="466">
        <v>812151</v>
      </c>
      <c r="D50" s="466">
        <v>236720</v>
      </c>
      <c r="E50" s="466">
        <v>50814</v>
      </c>
      <c r="F50" s="466">
        <v>14887</v>
      </c>
      <c r="G50" s="466">
        <v>0</v>
      </c>
      <c r="H50" s="466">
        <v>5347</v>
      </c>
      <c r="I50" s="467">
        <v>4033</v>
      </c>
      <c r="J50" s="467">
        <v>0</v>
      </c>
      <c r="K50" s="1694">
        <f>SUM(C50:J50)</f>
        <v>1123952</v>
      </c>
      <c r="L50" s="466">
        <v>1065000</v>
      </c>
    </row>
    <row r="51" spans="1:14" x14ac:dyDescent="0.2">
      <c r="A51" s="1526" t="s">
        <v>44</v>
      </c>
      <c r="B51" s="615">
        <v>2330</v>
      </c>
      <c r="C51" s="466">
        <v>0</v>
      </c>
      <c r="D51" s="466">
        <v>0</v>
      </c>
      <c r="E51" s="466">
        <v>0</v>
      </c>
      <c r="F51" s="466">
        <v>0</v>
      </c>
      <c r="G51" s="466">
        <v>0</v>
      </c>
      <c r="H51" s="466">
        <v>0</v>
      </c>
      <c r="I51" s="467">
        <v>0</v>
      </c>
      <c r="J51" s="467">
        <v>0</v>
      </c>
      <c r="K51" s="1694">
        <f>SUM(C51:J51)</f>
        <v>0</v>
      </c>
      <c r="L51" s="466">
        <v>0</v>
      </c>
    </row>
    <row r="52" spans="1:14" ht="22.5" x14ac:dyDescent="0.2">
      <c r="A52" s="1527" t="s">
        <v>316</v>
      </c>
      <c r="B52" s="628" t="s">
        <v>384</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741</v>
      </c>
      <c r="B53" s="1691" t="s">
        <v>33</v>
      </c>
      <c r="C53" s="1692">
        <f>SUM(C49:C52)</f>
        <v>812151</v>
      </c>
      <c r="D53" s="1692">
        <f t="shared" ref="D53:L53" si="5">SUM(D49:D52)</f>
        <v>347900</v>
      </c>
      <c r="E53" s="1692">
        <f t="shared" si="5"/>
        <v>677109</v>
      </c>
      <c r="F53" s="1692">
        <f t="shared" si="5"/>
        <v>22688</v>
      </c>
      <c r="G53" s="1692">
        <f t="shared" si="5"/>
        <v>0</v>
      </c>
      <c r="H53" s="1692">
        <f t="shared" si="5"/>
        <v>5347</v>
      </c>
      <c r="I53" s="1692">
        <f t="shared" si="5"/>
        <v>4033</v>
      </c>
      <c r="J53" s="1692">
        <f t="shared" si="5"/>
        <v>0</v>
      </c>
      <c r="K53" s="1692">
        <f t="shared" si="5"/>
        <v>1869228</v>
      </c>
      <c r="L53" s="1692">
        <f t="shared" si="5"/>
        <v>1720000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2057561</v>
      </c>
      <c r="D55" s="481">
        <v>571957</v>
      </c>
      <c r="E55" s="481">
        <v>10199</v>
      </c>
      <c r="F55" s="481">
        <v>2594</v>
      </c>
      <c r="G55" s="481">
        <v>0</v>
      </c>
      <c r="H55" s="481">
        <v>1919</v>
      </c>
      <c r="I55" s="467">
        <v>5078</v>
      </c>
      <c r="J55" s="467">
        <v>0</v>
      </c>
      <c r="K55" s="1694">
        <f>SUM(C55:J55)</f>
        <v>2649308</v>
      </c>
      <c r="L55" s="481">
        <v>2637000</v>
      </c>
    </row>
    <row r="56" spans="1:14" ht="12.75" customHeight="1" x14ac:dyDescent="0.2">
      <c r="A56" s="1530" t="s">
        <v>394</v>
      </c>
      <c r="B56" s="629">
        <v>2490</v>
      </c>
      <c r="C56" s="466">
        <v>52890</v>
      </c>
      <c r="D56" s="466">
        <v>11922</v>
      </c>
      <c r="E56" s="466">
        <v>1601</v>
      </c>
      <c r="F56" s="466">
        <v>0</v>
      </c>
      <c r="G56" s="466">
        <v>0</v>
      </c>
      <c r="H56" s="466">
        <v>0</v>
      </c>
      <c r="I56" s="467">
        <v>0</v>
      </c>
      <c r="J56" s="467">
        <v>0</v>
      </c>
      <c r="K56" s="1694">
        <f>SUM(C56:J56)</f>
        <v>66413</v>
      </c>
      <c r="L56" s="466">
        <v>69000</v>
      </c>
    </row>
    <row r="57" spans="1:14" s="343" customFormat="1" ht="12.75" customHeight="1" thickBot="1" x14ac:dyDescent="0.25">
      <c r="A57" s="1690" t="s">
        <v>281</v>
      </c>
      <c r="B57" s="1695" t="s">
        <v>34</v>
      </c>
      <c r="C57" s="1696">
        <f>SUM(C55:C56)</f>
        <v>2110451</v>
      </c>
      <c r="D57" s="1696">
        <f t="shared" ref="D57:K57" si="6">SUM(D55:D56)</f>
        <v>583879</v>
      </c>
      <c r="E57" s="1696">
        <f t="shared" si="6"/>
        <v>11800</v>
      </c>
      <c r="F57" s="1696">
        <f t="shared" si="6"/>
        <v>2594</v>
      </c>
      <c r="G57" s="1696">
        <f t="shared" si="6"/>
        <v>0</v>
      </c>
      <c r="H57" s="1696">
        <f t="shared" si="6"/>
        <v>1919</v>
      </c>
      <c r="I57" s="1696">
        <f t="shared" si="6"/>
        <v>5078</v>
      </c>
      <c r="J57" s="1696">
        <f t="shared" si="6"/>
        <v>0</v>
      </c>
      <c r="K57" s="1696">
        <f t="shared" si="6"/>
        <v>2715721</v>
      </c>
      <c r="L57" s="1692">
        <f>SUM(L55:L56)</f>
        <v>2706000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149346</v>
      </c>
      <c r="D59" s="481">
        <v>32721</v>
      </c>
      <c r="E59" s="481">
        <v>60822</v>
      </c>
      <c r="F59" s="481">
        <v>1345</v>
      </c>
      <c r="G59" s="481">
        <v>0</v>
      </c>
      <c r="H59" s="481">
        <v>1170</v>
      </c>
      <c r="I59" s="467">
        <v>0</v>
      </c>
      <c r="J59" s="467">
        <v>0</v>
      </c>
      <c r="K59" s="1694">
        <f t="shared" ref="K59:K64" si="7">SUM(C59:J59)</f>
        <v>245404</v>
      </c>
      <c r="L59" s="481">
        <v>251000</v>
      </c>
      <c r="M59" s="610"/>
      <c r="N59" s="610"/>
    </row>
    <row r="60" spans="1:14" s="343" customFormat="1" x14ac:dyDescent="0.2">
      <c r="A60" s="1526" t="s">
        <v>483</v>
      </c>
      <c r="B60" s="615">
        <v>2520</v>
      </c>
      <c r="C60" s="466">
        <v>309445</v>
      </c>
      <c r="D60" s="466">
        <v>82109</v>
      </c>
      <c r="E60" s="466">
        <v>15660</v>
      </c>
      <c r="F60" s="466">
        <v>3834</v>
      </c>
      <c r="G60" s="466">
        <v>0</v>
      </c>
      <c r="H60" s="466">
        <v>150</v>
      </c>
      <c r="I60" s="467">
        <v>0</v>
      </c>
      <c r="J60" s="467">
        <v>0</v>
      </c>
      <c r="K60" s="1694">
        <f t="shared" si="7"/>
        <v>411198</v>
      </c>
      <c r="L60" s="466">
        <v>453600</v>
      </c>
      <c r="M60" s="610"/>
      <c r="N60" s="610"/>
    </row>
    <row r="61" spans="1:14" s="343" customFormat="1" x14ac:dyDescent="0.2">
      <c r="A61" s="1526" t="s">
        <v>206</v>
      </c>
      <c r="B61" s="615">
        <v>2540</v>
      </c>
      <c r="C61" s="466">
        <v>0</v>
      </c>
      <c r="D61" s="466">
        <v>0</v>
      </c>
      <c r="E61" s="466">
        <v>0</v>
      </c>
      <c r="F61" s="466">
        <v>0</v>
      </c>
      <c r="G61" s="466">
        <v>0</v>
      </c>
      <c r="H61" s="466">
        <v>0</v>
      </c>
      <c r="I61" s="467">
        <v>0</v>
      </c>
      <c r="J61" s="467">
        <v>0</v>
      </c>
      <c r="K61" s="1694">
        <f t="shared" si="7"/>
        <v>0</v>
      </c>
      <c r="L61" s="466">
        <v>0</v>
      </c>
      <c r="M61" s="610"/>
      <c r="N61" s="610"/>
    </row>
    <row r="62" spans="1:14" s="343" customFormat="1" x14ac:dyDescent="0.2">
      <c r="A62" s="1526" t="s">
        <v>1010</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0</v>
      </c>
      <c r="D63" s="466">
        <v>0</v>
      </c>
      <c r="E63" s="466">
        <v>215328</v>
      </c>
      <c r="F63" s="466">
        <v>44</v>
      </c>
      <c r="G63" s="466">
        <v>0</v>
      </c>
      <c r="H63" s="466">
        <v>0</v>
      </c>
      <c r="I63" s="467">
        <v>0</v>
      </c>
      <c r="J63" s="467">
        <v>0</v>
      </c>
      <c r="K63" s="1694">
        <f t="shared" si="7"/>
        <v>215372</v>
      </c>
      <c r="L63" s="466">
        <v>204000</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0</v>
      </c>
    </row>
    <row r="65" spans="1:14" s="343" customFormat="1" ht="12.75" customHeight="1" thickBot="1" x14ac:dyDescent="0.25">
      <c r="A65" s="1690" t="s">
        <v>743</v>
      </c>
      <c r="B65" s="1691" t="s">
        <v>35</v>
      </c>
      <c r="C65" s="1692">
        <f>SUM(C59:C64)</f>
        <v>458791</v>
      </c>
      <c r="D65" s="1692">
        <f t="shared" ref="D65:L65" si="8">SUM(D59:D64)</f>
        <v>114830</v>
      </c>
      <c r="E65" s="1692">
        <f t="shared" si="8"/>
        <v>291810</v>
      </c>
      <c r="F65" s="1692">
        <f t="shared" si="8"/>
        <v>5223</v>
      </c>
      <c r="G65" s="1692">
        <f t="shared" si="8"/>
        <v>0</v>
      </c>
      <c r="H65" s="1692">
        <f t="shared" si="8"/>
        <v>1320</v>
      </c>
      <c r="I65" s="1692">
        <f t="shared" si="8"/>
        <v>0</v>
      </c>
      <c r="J65" s="1692">
        <f t="shared" si="8"/>
        <v>0</v>
      </c>
      <c r="K65" s="1692">
        <f t="shared" si="8"/>
        <v>871974</v>
      </c>
      <c r="L65" s="1692">
        <f t="shared" si="8"/>
        <v>908600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628</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1121</v>
      </c>
      <c r="B69" s="615">
        <v>2630</v>
      </c>
      <c r="C69" s="466">
        <v>0</v>
      </c>
      <c r="D69" s="466">
        <v>0</v>
      </c>
      <c r="E69" s="466">
        <v>0</v>
      </c>
      <c r="F69" s="466">
        <v>0</v>
      </c>
      <c r="G69" s="466">
        <v>0</v>
      </c>
      <c r="H69" s="466">
        <v>0</v>
      </c>
      <c r="I69" s="467">
        <v>0</v>
      </c>
      <c r="J69" s="467">
        <v>0</v>
      </c>
      <c r="K69" s="1694">
        <f>SUM(C69:J69)</f>
        <v>0</v>
      </c>
      <c r="L69" s="466">
        <v>0</v>
      </c>
      <c r="M69" s="610"/>
      <c r="N69" s="610"/>
    </row>
    <row r="70" spans="1:14" s="343" customFormat="1" x14ac:dyDescent="0.2">
      <c r="A70" s="1526" t="s">
        <v>423</v>
      </c>
      <c r="B70" s="615">
        <v>2640</v>
      </c>
      <c r="C70" s="466">
        <v>0</v>
      </c>
      <c r="D70" s="466">
        <v>0</v>
      </c>
      <c r="E70" s="466">
        <v>0</v>
      </c>
      <c r="F70" s="466">
        <v>0</v>
      </c>
      <c r="G70" s="466">
        <v>0</v>
      </c>
      <c r="H70" s="466">
        <v>0</v>
      </c>
      <c r="I70" s="467">
        <v>0</v>
      </c>
      <c r="J70" s="467">
        <v>0</v>
      </c>
      <c r="K70" s="1694">
        <f>SUM(C70:J70)</f>
        <v>0</v>
      </c>
      <c r="L70" s="466">
        <v>0</v>
      </c>
      <c r="M70" s="610"/>
      <c r="N70" s="610"/>
    </row>
    <row r="71" spans="1:14" s="343" customFormat="1" x14ac:dyDescent="0.2">
      <c r="A71" s="1526" t="s">
        <v>424</v>
      </c>
      <c r="B71" s="615">
        <v>2660</v>
      </c>
      <c r="C71" s="466">
        <v>54621</v>
      </c>
      <c r="D71" s="466">
        <v>17918</v>
      </c>
      <c r="E71" s="466">
        <v>54951</v>
      </c>
      <c r="F71" s="466">
        <v>131</v>
      </c>
      <c r="G71" s="466">
        <v>0</v>
      </c>
      <c r="H71" s="466">
        <v>0</v>
      </c>
      <c r="I71" s="467">
        <v>0</v>
      </c>
      <c r="J71" s="467">
        <v>0</v>
      </c>
      <c r="K71" s="1694">
        <f>SUM(C71:J71)</f>
        <v>127621</v>
      </c>
      <c r="L71" s="466">
        <v>77150</v>
      </c>
      <c r="M71" s="610"/>
      <c r="N71" s="610"/>
    </row>
    <row r="72" spans="1:14" s="343" customFormat="1" ht="12.75" customHeight="1" thickBot="1" x14ac:dyDescent="0.25">
      <c r="A72" s="1690" t="s">
        <v>37</v>
      </c>
      <c r="B72" s="1697" t="s">
        <v>36</v>
      </c>
      <c r="C72" s="1692">
        <f>SUM(C67:C71)</f>
        <v>54621</v>
      </c>
      <c r="D72" s="1692">
        <f t="shared" ref="D72:K72" si="9">SUM(D67:D71)</f>
        <v>17918</v>
      </c>
      <c r="E72" s="1692">
        <f t="shared" si="9"/>
        <v>54951</v>
      </c>
      <c r="F72" s="1692">
        <f t="shared" si="9"/>
        <v>131</v>
      </c>
      <c r="G72" s="1692">
        <f t="shared" si="9"/>
        <v>0</v>
      </c>
      <c r="H72" s="1692">
        <f t="shared" si="9"/>
        <v>0</v>
      </c>
      <c r="I72" s="1692">
        <f t="shared" si="9"/>
        <v>0</v>
      </c>
      <c r="J72" s="1692">
        <f t="shared" si="9"/>
        <v>0</v>
      </c>
      <c r="K72" s="1692">
        <f t="shared" si="9"/>
        <v>127621</v>
      </c>
      <c r="L72" s="1692">
        <f>SUM(L67:L71)</f>
        <v>77150</v>
      </c>
      <c r="M72" s="610"/>
      <c r="N72" s="610"/>
    </row>
    <row r="73" spans="1:14" s="343" customFormat="1" ht="14.25" thickTop="1" thickBot="1" x14ac:dyDescent="0.25">
      <c r="A73" s="1532" t="s">
        <v>1037</v>
      </c>
      <c r="B73" s="633" t="s">
        <v>595</v>
      </c>
      <c r="C73" s="573">
        <v>0</v>
      </c>
      <c r="D73" s="573">
        <v>0</v>
      </c>
      <c r="E73" s="573">
        <v>0</v>
      </c>
      <c r="F73" s="573">
        <v>0</v>
      </c>
      <c r="G73" s="573">
        <v>0</v>
      </c>
      <c r="H73" s="573">
        <v>0</v>
      </c>
      <c r="I73" s="531">
        <v>0</v>
      </c>
      <c r="J73" s="531">
        <v>0</v>
      </c>
      <c r="K73" s="1692">
        <f>SUM(C73:J73)</f>
        <v>0</v>
      </c>
      <c r="L73" s="576">
        <v>0</v>
      </c>
      <c r="M73" s="610"/>
      <c r="N73" s="610"/>
    </row>
    <row r="74" spans="1:14" ht="12.75" customHeight="1" thickTop="1" thickBot="1" x14ac:dyDescent="0.25">
      <c r="A74" s="1690" t="s">
        <v>865</v>
      </c>
      <c r="B74" s="1698">
        <v>2000</v>
      </c>
      <c r="C74" s="1699">
        <f>SUM(C42,C47,C53,C57,C65,C72,C73)</f>
        <v>13642818</v>
      </c>
      <c r="D74" s="1699">
        <f t="shared" ref="D74:K74" si="10">SUM(D42,D47,D53,D57,D65,D72,D73)</f>
        <v>2890562</v>
      </c>
      <c r="E74" s="1699">
        <f t="shared" si="10"/>
        <v>2207543</v>
      </c>
      <c r="F74" s="1699">
        <f t="shared" si="10"/>
        <v>317753</v>
      </c>
      <c r="G74" s="1699">
        <f t="shared" si="10"/>
        <v>87233</v>
      </c>
      <c r="H74" s="1699">
        <f t="shared" si="10"/>
        <v>16239</v>
      </c>
      <c r="I74" s="1699">
        <f t="shared" si="10"/>
        <v>119743</v>
      </c>
      <c r="J74" s="1699">
        <f t="shared" si="10"/>
        <v>0</v>
      </c>
      <c r="K74" s="1699">
        <f t="shared" si="10"/>
        <v>19281891</v>
      </c>
      <c r="L74" s="1699">
        <f>SUM(L42,L47,L53,L57,L65,L72,L73)</f>
        <v>19993450</v>
      </c>
    </row>
    <row r="75" spans="1:14" s="259" customFormat="1" ht="15.75" customHeight="1" thickTop="1" thickBot="1" x14ac:dyDescent="0.25">
      <c r="A75" s="1632" t="s">
        <v>49</v>
      </c>
      <c r="B75" s="1633" t="s">
        <v>596</v>
      </c>
      <c r="C75" s="573">
        <v>0</v>
      </c>
      <c r="D75" s="573">
        <v>0</v>
      </c>
      <c r="E75" s="573">
        <v>0</v>
      </c>
      <c r="F75" s="573">
        <v>0</v>
      </c>
      <c r="G75" s="573">
        <v>0</v>
      </c>
      <c r="H75" s="573">
        <v>0</v>
      </c>
      <c r="I75" s="531">
        <v>0</v>
      </c>
      <c r="J75" s="531">
        <v>0</v>
      </c>
      <c r="K75" s="1692">
        <f>SUM(C75:J75)</f>
        <v>0</v>
      </c>
      <c r="L75" s="576">
        <v>40000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3">
        <f t="shared" ref="K78:K83" si="11">SUM(C78:J78)</f>
        <v>0</v>
      </c>
      <c r="L78" s="481">
        <v>0</v>
      </c>
    </row>
    <row r="79" spans="1:14" x14ac:dyDescent="0.2">
      <c r="A79" s="1526" t="s">
        <v>322</v>
      </c>
      <c r="B79" s="615">
        <v>4120</v>
      </c>
      <c r="C79" s="617"/>
      <c r="D79" s="617"/>
      <c r="E79" s="466">
        <v>175913</v>
      </c>
      <c r="F79" s="617"/>
      <c r="G79" s="617"/>
      <c r="H79" s="466">
        <v>11180054</v>
      </c>
      <c r="I79" s="477"/>
      <c r="J79" s="477"/>
      <c r="K79" s="1693">
        <f t="shared" si="11"/>
        <v>11355967</v>
      </c>
      <c r="L79" s="466">
        <v>11180054</v>
      </c>
    </row>
    <row r="80" spans="1:14" x14ac:dyDescent="0.2">
      <c r="A80" s="1526" t="s">
        <v>323</v>
      </c>
      <c r="B80" s="615">
        <v>4130</v>
      </c>
      <c r="C80" s="617"/>
      <c r="D80" s="617"/>
      <c r="E80" s="466">
        <v>0</v>
      </c>
      <c r="F80" s="617"/>
      <c r="G80" s="617"/>
      <c r="H80" s="466">
        <v>0</v>
      </c>
      <c r="I80" s="477"/>
      <c r="J80" s="477"/>
      <c r="K80" s="1693">
        <f t="shared" si="11"/>
        <v>0</v>
      </c>
      <c r="L80" s="466">
        <v>0</v>
      </c>
    </row>
    <row r="81" spans="1:12" x14ac:dyDescent="0.2">
      <c r="A81" s="1526" t="s">
        <v>721</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722</v>
      </c>
      <c r="B83" s="629">
        <v>4190</v>
      </c>
      <c r="C83" s="617"/>
      <c r="D83" s="617"/>
      <c r="E83" s="466">
        <v>0</v>
      </c>
      <c r="F83" s="617"/>
      <c r="G83" s="617"/>
      <c r="H83" s="466">
        <v>0</v>
      </c>
      <c r="I83" s="477"/>
      <c r="J83" s="477"/>
      <c r="K83" s="1693">
        <f t="shared" si="11"/>
        <v>0</v>
      </c>
      <c r="L83" s="466">
        <v>0</v>
      </c>
    </row>
    <row r="84" spans="1:12" ht="13.5" thickBot="1" x14ac:dyDescent="0.25">
      <c r="A84" s="1690" t="s">
        <v>1565</v>
      </c>
      <c r="B84" s="1700">
        <v>4100</v>
      </c>
      <c r="C84" s="617"/>
      <c r="D84" s="617"/>
      <c r="E84" s="1692">
        <f>SUM(E78:E83)</f>
        <v>175913</v>
      </c>
      <c r="F84" s="617"/>
      <c r="G84" s="617"/>
      <c r="H84" s="1692">
        <f>SUM(H78:H83)</f>
        <v>11180054</v>
      </c>
      <c r="I84" s="477"/>
      <c r="J84" s="477"/>
      <c r="K84" s="1692">
        <f>SUM(K78:K83)</f>
        <v>11355967</v>
      </c>
      <c r="L84" s="1692">
        <f>SUM(L78:L83)</f>
        <v>11180054</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723</v>
      </c>
      <c r="B86" s="638">
        <v>4220</v>
      </c>
      <c r="C86" s="617"/>
      <c r="D86" s="617"/>
      <c r="E86" s="639"/>
      <c r="F86" s="617"/>
      <c r="G86" s="617"/>
      <c r="H86" s="467">
        <v>0</v>
      </c>
      <c r="I86" s="477"/>
      <c r="J86" s="477"/>
      <c r="K86" s="1699">
        <f t="shared" ref="K86:K98" si="12">H86</f>
        <v>0</v>
      </c>
      <c r="L86" s="530">
        <v>0</v>
      </c>
    </row>
    <row r="87" spans="1:12" ht="14.25" thickTop="1" thickBot="1" x14ac:dyDescent="0.25">
      <c r="A87" s="1535" t="s">
        <v>724</v>
      </c>
      <c r="B87" s="640">
        <v>4230</v>
      </c>
      <c r="C87" s="617"/>
      <c r="D87" s="617"/>
      <c r="E87" s="639"/>
      <c r="F87" s="617"/>
      <c r="G87" s="617"/>
      <c r="H87" s="467">
        <v>0</v>
      </c>
      <c r="I87" s="477"/>
      <c r="J87" s="477"/>
      <c r="K87" s="1699">
        <f t="shared" si="12"/>
        <v>0</v>
      </c>
      <c r="L87" s="530">
        <v>0</v>
      </c>
    </row>
    <row r="88" spans="1:12" ht="12.75" customHeight="1" thickTop="1" thickBot="1" x14ac:dyDescent="0.25">
      <c r="A88" s="1535" t="s">
        <v>789</v>
      </c>
      <c r="B88" s="640">
        <v>4240</v>
      </c>
      <c r="C88" s="617"/>
      <c r="D88" s="617"/>
      <c r="E88" s="639"/>
      <c r="F88" s="617"/>
      <c r="G88" s="617"/>
      <c r="H88" s="467">
        <v>0</v>
      </c>
      <c r="I88" s="477"/>
      <c r="J88" s="477"/>
      <c r="K88" s="1699">
        <f t="shared" si="12"/>
        <v>0</v>
      </c>
      <c r="L88" s="530">
        <v>0</v>
      </c>
    </row>
    <row r="89" spans="1:12" ht="12.75" customHeight="1" thickTop="1" thickBot="1" x14ac:dyDescent="0.25">
      <c r="A89" s="1535" t="s">
        <v>725</v>
      </c>
      <c r="B89" s="640">
        <v>4270</v>
      </c>
      <c r="C89" s="617"/>
      <c r="D89" s="617"/>
      <c r="E89" s="639"/>
      <c r="F89" s="617"/>
      <c r="G89" s="617"/>
      <c r="H89" s="467">
        <v>0</v>
      </c>
      <c r="I89" s="477"/>
      <c r="J89" s="477"/>
      <c r="K89" s="1699">
        <f t="shared" si="12"/>
        <v>0</v>
      </c>
      <c r="L89" s="530">
        <v>0</v>
      </c>
    </row>
    <row r="90" spans="1:12" ht="12.75" customHeight="1" thickTop="1" thickBot="1" x14ac:dyDescent="0.25">
      <c r="A90" s="1535" t="s">
        <v>710</v>
      </c>
      <c r="B90" s="640">
        <v>4280</v>
      </c>
      <c r="C90" s="617"/>
      <c r="D90" s="617"/>
      <c r="E90" s="639"/>
      <c r="F90" s="617"/>
      <c r="G90" s="617"/>
      <c r="H90" s="467">
        <v>0</v>
      </c>
      <c r="I90" s="477"/>
      <c r="J90" s="477"/>
      <c r="K90" s="1699">
        <f t="shared" si="12"/>
        <v>0</v>
      </c>
      <c r="L90" s="530">
        <v>0</v>
      </c>
    </row>
    <row r="91" spans="1:12" ht="12.75" customHeight="1" thickTop="1" thickBot="1" x14ac:dyDescent="0.25">
      <c r="A91" s="1535" t="s">
        <v>711</v>
      </c>
      <c r="B91" s="640">
        <v>4290</v>
      </c>
      <c r="C91" s="617"/>
      <c r="D91" s="617"/>
      <c r="E91" s="639"/>
      <c r="F91" s="617"/>
      <c r="G91" s="617"/>
      <c r="H91" s="467">
        <v>0</v>
      </c>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v>0</v>
      </c>
      <c r="I93" s="477"/>
      <c r="J93" s="477"/>
      <c r="K93" s="1699">
        <f t="shared" si="12"/>
        <v>0</v>
      </c>
      <c r="L93" s="532">
        <v>0</v>
      </c>
    </row>
    <row r="94" spans="1:12" ht="12.75" customHeight="1" thickTop="1" thickBot="1" x14ac:dyDescent="0.25">
      <c r="A94" s="1535" t="s">
        <v>713</v>
      </c>
      <c r="B94" s="640">
        <v>4320</v>
      </c>
      <c r="C94" s="617"/>
      <c r="D94" s="617"/>
      <c r="E94" s="639"/>
      <c r="F94" s="617"/>
      <c r="G94" s="617"/>
      <c r="H94" s="467">
        <v>0</v>
      </c>
      <c r="I94" s="477"/>
      <c r="J94" s="477"/>
      <c r="K94" s="1699">
        <f t="shared" si="12"/>
        <v>0</v>
      </c>
      <c r="L94" s="530">
        <v>0</v>
      </c>
    </row>
    <row r="95" spans="1:12" ht="15" customHeight="1" thickTop="1" thickBot="1" x14ac:dyDescent="0.25">
      <c r="A95" s="1535" t="s">
        <v>1568</v>
      </c>
      <c r="B95" s="640">
        <v>4330</v>
      </c>
      <c r="C95" s="617"/>
      <c r="D95" s="617"/>
      <c r="E95" s="639"/>
      <c r="F95" s="617"/>
      <c r="G95" s="617"/>
      <c r="H95" s="467">
        <v>0</v>
      </c>
      <c r="I95" s="477"/>
      <c r="J95" s="477"/>
      <c r="K95" s="1699">
        <f t="shared" si="12"/>
        <v>0</v>
      </c>
      <c r="L95" s="530">
        <v>0</v>
      </c>
    </row>
    <row r="96" spans="1:12" ht="14.25" thickTop="1" thickBot="1" x14ac:dyDescent="0.25">
      <c r="A96" s="1535" t="s">
        <v>714</v>
      </c>
      <c r="B96" s="640">
        <v>4340</v>
      </c>
      <c r="C96" s="617"/>
      <c r="D96" s="617"/>
      <c r="E96" s="639"/>
      <c r="F96" s="617"/>
      <c r="G96" s="617"/>
      <c r="H96" s="467">
        <v>0</v>
      </c>
      <c r="I96" s="477"/>
      <c r="J96" s="477"/>
      <c r="K96" s="1699">
        <f t="shared" si="12"/>
        <v>0</v>
      </c>
      <c r="L96" s="530">
        <v>0</v>
      </c>
    </row>
    <row r="97" spans="1:14" ht="12.75" customHeight="1" thickTop="1" thickBot="1" x14ac:dyDescent="0.25">
      <c r="A97" s="1535" t="s">
        <v>787</v>
      </c>
      <c r="B97" s="640">
        <v>4370</v>
      </c>
      <c r="C97" s="617"/>
      <c r="D97" s="617"/>
      <c r="E97" s="639"/>
      <c r="F97" s="617"/>
      <c r="G97" s="617"/>
      <c r="H97" s="467">
        <v>0</v>
      </c>
      <c r="I97" s="477"/>
      <c r="J97" s="477"/>
      <c r="K97" s="1699">
        <f t="shared" si="12"/>
        <v>0</v>
      </c>
      <c r="L97" s="530">
        <v>0</v>
      </c>
    </row>
    <row r="98" spans="1:14" ht="14.25" thickTop="1" thickBot="1" x14ac:dyDescent="0.25">
      <c r="A98" s="1535" t="s">
        <v>788</v>
      </c>
      <c r="B98" s="640">
        <v>4380</v>
      </c>
      <c r="C98" s="617"/>
      <c r="D98" s="617"/>
      <c r="E98" s="643"/>
      <c r="F98" s="617"/>
      <c r="G98" s="617"/>
      <c r="H98" s="467">
        <v>0</v>
      </c>
      <c r="I98" s="477"/>
      <c r="J98" s="477"/>
      <c r="K98" s="1699">
        <f t="shared" si="12"/>
        <v>0</v>
      </c>
      <c r="L98" s="530">
        <v>0</v>
      </c>
    </row>
    <row r="99" spans="1:14" ht="14.25" thickTop="1" thickBot="1" x14ac:dyDescent="0.25">
      <c r="A99" s="1535" t="s">
        <v>385</v>
      </c>
      <c r="B99" s="640">
        <v>4390</v>
      </c>
      <c r="C99" s="617"/>
      <c r="D99" s="617"/>
      <c r="E99" s="532">
        <v>0</v>
      </c>
      <c r="F99" s="617"/>
      <c r="G99" s="617"/>
      <c r="H99" s="467">
        <v>0</v>
      </c>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v>0</v>
      </c>
      <c r="F101" s="617"/>
      <c r="G101" s="617"/>
      <c r="H101" s="531">
        <v>0</v>
      </c>
      <c r="I101" s="477"/>
      <c r="J101" s="477"/>
      <c r="K101" s="1701">
        <f>SUM(C101:J101)</f>
        <v>0</v>
      </c>
      <c r="L101" s="530">
        <v>0</v>
      </c>
    </row>
    <row r="102" spans="1:14" ht="12.75" customHeight="1" thickTop="1" thickBot="1" x14ac:dyDescent="0.25">
      <c r="A102" s="1690" t="s">
        <v>1567</v>
      </c>
      <c r="B102" s="1700">
        <v>4000</v>
      </c>
      <c r="C102" s="617"/>
      <c r="D102" s="617"/>
      <c r="E102" s="1699">
        <f>SUM(E84,E92,E100,E101)</f>
        <v>175913</v>
      </c>
      <c r="F102" s="617"/>
      <c r="G102" s="617"/>
      <c r="H102" s="1699">
        <f>SUM(H84,H92,H100,H101)</f>
        <v>11180054</v>
      </c>
      <c r="I102" s="477"/>
      <c r="J102" s="477"/>
      <c r="K102" s="1699">
        <f>SUM(K84,K92,K100,K101)</f>
        <v>11355967</v>
      </c>
      <c r="L102" s="1699">
        <f>SUM(L84,L92,L100,L101)</f>
        <v>11180054</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100000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100000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100000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31797254</v>
      </c>
      <c r="D114" s="1692">
        <f t="shared" ref="D114:K114" si="13">SUM(D33,D74,D75,D102,D112,D113)</f>
        <v>7573127</v>
      </c>
      <c r="E114" s="1692">
        <f t="shared" si="13"/>
        <v>3627865</v>
      </c>
      <c r="F114" s="1692">
        <f t="shared" si="13"/>
        <v>652540</v>
      </c>
      <c r="G114" s="1692">
        <f t="shared" si="13"/>
        <v>122760</v>
      </c>
      <c r="H114" s="1692">
        <f>SUM(H33,H74,H75,H102,H112,H113)</f>
        <v>12268404</v>
      </c>
      <c r="I114" s="1692">
        <f t="shared" si="13"/>
        <v>166959</v>
      </c>
      <c r="J114" s="1692">
        <f t="shared" si="13"/>
        <v>0</v>
      </c>
      <c r="K114" s="1692">
        <f t="shared" si="13"/>
        <v>56208909</v>
      </c>
      <c r="L114" s="1692">
        <f>SUM(L33,L74,L75,L102,L112,L113)</f>
        <v>57796554</v>
      </c>
    </row>
    <row r="115" spans="1:14" ht="13.5" thickTop="1" x14ac:dyDescent="0.2">
      <c r="A115" s="2176" t="s">
        <v>1053</v>
      </c>
      <c r="B115" s="2177"/>
      <c r="C115" s="619"/>
      <c r="D115" s="619"/>
      <c r="E115" s="619"/>
      <c r="F115" s="619"/>
      <c r="G115" s="619"/>
      <c r="H115" s="619"/>
      <c r="I115" s="619"/>
      <c r="J115" s="619"/>
      <c r="K115" s="1706">
        <f>'Revenues 9-14'!C275-'Expenditures 15-22'!K114</f>
        <v>1795239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0</v>
      </c>
      <c r="F123" s="466">
        <v>0</v>
      </c>
      <c r="G123" s="466">
        <v>0</v>
      </c>
      <c r="H123" s="466">
        <v>0</v>
      </c>
      <c r="I123" s="467">
        <v>0</v>
      </c>
      <c r="J123" s="467">
        <v>0</v>
      </c>
      <c r="K123" s="1692">
        <f>SUM(C123:J123)</f>
        <v>0</v>
      </c>
      <c r="L123" s="466">
        <v>0</v>
      </c>
    </row>
    <row r="124" spans="1:14" ht="14.25" thickTop="1" thickBot="1" x14ac:dyDescent="0.25">
      <c r="A124" s="1526" t="s">
        <v>206</v>
      </c>
      <c r="B124" s="615">
        <v>2540</v>
      </c>
      <c r="C124" s="466">
        <v>828410</v>
      </c>
      <c r="D124" s="466">
        <v>237464</v>
      </c>
      <c r="E124" s="466">
        <v>722952</v>
      </c>
      <c r="F124" s="466">
        <v>550933</v>
      </c>
      <c r="G124" s="466">
        <v>3171918</v>
      </c>
      <c r="H124" s="466">
        <v>75</v>
      </c>
      <c r="I124" s="467">
        <v>18227</v>
      </c>
      <c r="J124" s="467">
        <v>0</v>
      </c>
      <c r="K124" s="1692">
        <f>SUM(C124:J124)</f>
        <v>5529979</v>
      </c>
      <c r="L124" s="466">
        <v>5958079</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743</v>
      </c>
      <c r="B127" s="1691" t="s">
        <v>35</v>
      </c>
      <c r="C127" s="1692">
        <f>SUM(C122:C126)</f>
        <v>828410</v>
      </c>
      <c r="D127" s="1692">
        <f t="shared" ref="D127:L127" si="14">SUM(D122:D126)</f>
        <v>237464</v>
      </c>
      <c r="E127" s="1692">
        <f t="shared" si="14"/>
        <v>722952</v>
      </c>
      <c r="F127" s="1692">
        <f t="shared" si="14"/>
        <v>550933</v>
      </c>
      <c r="G127" s="1692">
        <f t="shared" si="14"/>
        <v>3171918</v>
      </c>
      <c r="H127" s="1692">
        <f t="shared" si="14"/>
        <v>75</v>
      </c>
      <c r="I127" s="1692">
        <f t="shared" si="14"/>
        <v>18227</v>
      </c>
      <c r="J127" s="1692">
        <f t="shared" si="14"/>
        <v>0</v>
      </c>
      <c r="K127" s="1692">
        <f t="shared" si="14"/>
        <v>5529979</v>
      </c>
      <c r="L127" s="1692">
        <f t="shared" si="14"/>
        <v>5958079</v>
      </c>
    </row>
    <row r="128" spans="1:14" ht="12.75" customHeight="1" thickTop="1" x14ac:dyDescent="0.2">
      <c r="A128" s="1533" t="s">
        <v>1037</v>
      </c>
      <c r="B128" s="656" t="s">
        <v>595</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865</v>
      </c>
      <c r="B129" s="1709" t="s">
        <v>590</v>
      </c>
      <c r="C129" s="1699">
        <f>SUM(C120,C127,C128)</f>
        <v>828410</v>
      </c>
      <c r="D129" s="1699">
        <f t="shared" ref="D129:L129" si="15">SUM(D120,D127,D128)</f>
        <v>237464</v>
      </c>
      <c r="E129" s="1699">
        <f t="shared" si="15"/>
        <v>722952</v>
      </c>
      <c r="F129" s="1699">
        <f t="shared" si="15"/>
        <v>550933</v>
      </c>
      <c r="G129" s="1699">
        <f t="shared" si="15"/>
        <v>3171918</v>
      </c>
      <c r="H129" s="1699">
        <f t="shared" si="15"/>
        <v>75</v>
      </c>
      <c r="I129" s="1699">
        <f t="shared" si="15"/>
        <v>18227</v>
      </c>
      <c r="J129" s="1699">
        <f t="shared" si="15"/>
        <v>0</v>
      </c>
      <c r="K129" s="1699">
        <f t="shared" si="15"/>
        <v>5529979</v>
      </c>
      <c r="L129" s="1699">
        <f t="shared" si="15"/>
        <v>5958079</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v>0</v>
      </c>
      <c r="F133" s="468"/>
      <c r="G133" s="468"/>
      <c r="H133" s="642">
        <v>0</v>
      </c>
      <c r="I133" s="468"/>
      <c r="J133" s="468"/>
      <c r="K133" s="1844">
        <f>SUM(E133,H133)</f>
        <v>0</v>
      </c>
      <c r="L133" s="642">
        <v>0</v>
      </c>
      <c r="M133" s="206"/>
      <c r="N133" s="206"/>
    </row>
    <row r="134" spans="1:14" x14ac:dyDescent="0.2">
      <c r="A134" s="1526" t="s">
        <v>322</v>
      </c>
      <c r="B134" s="615">
        <v>4120</v>
      </c>
      <c r="C134" s="617"/>
      <c r="D134" s="617"/>
      <c r="E134" s="478">
        <v>0</v>
      </c>
      <c r="F134" s="617"/>
      <c r="G134" s="617"/>
      <c r="H134" s="481">
        <v>0</v>
      </c>
      <c r="I134" s="477"/>
      <c r="J134" s="617"/>
      <c r="K134" s="1694">
        <f>SUM(E134,H134)</f>
        <v>0</v>
      </c>
      <c r="L134" s="481">
        <v>0</v>
      </c>
    </row>
    <row r="135" spans="1:14" x14ac:dyDescent="0.2">
      <c r="A135" s="1526" t="s">
        <v>721</v>
      </c>
      <c r="B135" s="615">
        <v>4140</v>
      </c>
      <c r="C135" s="617"/>
      <c r="D135" s="617"/>
      <c r="E135" s="467">
        <v>0</v>
      </c>
      <c r="F135" s="617"/>
      <c r="G135" s="617"/>
      <c r="H135" s="466">
        <v>0</v>
      </c>
      <c r="I135" s="477"/>
      <c r="J135" s="617"/>
      <c r="K135" s="1694">
        <f>SUM(E135,H135)</f>
        <v>0</v>
      </c>
      <c r="L135" s="466">
        <v>0</v>
      </c>
    </row>
    <row r="136" spans="1:14" x14ac:dyDescent="0.2">
      <c r="A136" s="1530" t="s">
        <v>722</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v>0</v>
      </c>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1232</v>
      </c>
      <c r="B144" s="629" t="s">
        <v>638</v>
      </c>
      <c r="C144" s="617"/>
      <c r="D144" s="617"/>
      <c r="E144" s="617"/>
      <c r="F144" s="617"/>
      <c r="G144" s="617"/>
      <c r="H144" s="466">
        <v>0</v>
      </c>
      <c r="I144" s="468"/>
      <c r="J144" s="617"/>
      <c r="K144" s="1694">
        <f>SUM(H144)</f>
        <v>0</v>
      </c>
      <c r="L144" s="466">
        <v>0</v>
      </c>
    </row>
    <row r="145" spans="1:14" x14ac:dyDescent="0.2">
      <c r="A145" s="1526" t="s">
        <v>91</v>
      </c>
      <c r="B145" s="615" t="s">
        <v>610</v>
      </c>
      <c r="C145" s="617"/>
      <c r="D145" s="617"/>
      <c r="E145" s="617"/>
      <c r="F145" s="617"/>
      <c r="G145" s="617"/>
      <c r="H145" s="466">
        <v>0</v>
      </c>
      <c r="I145" s="468"/>
      <c r="J145" s="617"/>
      <c r="K145" s="1694">
        <f>SUM(H145)</f>
        <v>0</v>
      </c>
      <c r="L145" s="466">
        <v>0</v>
      </c>
    </row>
    <row r="146" spans="1:14" ht="12.75" customHeight="1" x14ac:dyDescent="0.2">
      <c r="A146" s="1526" t="s">
        <v>640</v>
      </c>
      <c r="B146" s="615" t="s">
        <v>639</v>
      </c>
      <c r="C146" s="617"/>
      <c r="D146" s="617"/>
      <c r="E146" s="617"/>
      <c r="F146" s="617"/>
      <c r="G146" s="617"/>
      <c r="H146" s="466">
        <v>0</v>
      </c>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3" t="s">
        <v>641</v>
      </c>
      <c r="B151" s="2173"/>
      <c r="C151" s="1692">
        <f>SUM(C129,C130,C139,C149,C150)</f>
        <v>828410</v>
      </c>
      <c r="D151" s="1692">
        <f t="shared" ref="D151:K151" si="16">SUM(D129,D130,D139,D149,D150)</f>
        <v>237464</v>
      </c>
      <c r="E151" s="1692">
        <f t="shared" si="16"/>
        <v>722952</v>
      </c>
      <c r="F151" s="1692">
        <f t="shared" si="16"/>
        <v>550933</v>
      </c>
      <c r="G151" s="1692">
        <f t="shared" si="16"/>
        <v>3171918</v>
      </c>
      <c r="H151" s="1692">
        <f t="shared" si="16"/>
        <v>75</v>
      </c>
      <c r="I151" s="1692">
        <f t="shared" si="16"/>
        <v>18227</v>
      </c>
      <c r="J151" s="1692">
        <f t="shared" si="16"/>
        <v>0</v>
      </c>
      <c r="K151" s="1692">
        <f t="shared" si="16"/>
        <v>5529979</v>
      </c>
      <c r="L151" s="1692">
        <f>SUM(L129,L130,L139,L149,L150)</f>
        <v>5958079</v>
      </c>
    </row>
    <row r="152" spans="1:14" ht="12.75" customHeight="1" thickTop="1" x14ac:dyDescent="0.2">
      <c r="A152" s="2196" t="s">
        <v>1240</v>
      </c>
      <c r="B152" s="2197"/>
      <c r="C152" s="619"/>
      <c r="D152" s="619"/>
      <c r="E152" s="619"/>
      <c r="F152" s="619"/>
      <c r="G152" s="619"/>
      <c r="H152" s="619"/>
      <c r="I152" s="619"/>
      <c r="J152" s="617"/>
      <c r="K152" s="1706">
        <f>'Revenues 9-14'!D275-'Expenditures 15-22'!K151</f>
        <v>-2800985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v>0</v>
      </c>
      <c r="I157" s="617"/>
      <c r="J157" s="617"/>
      <c r="K157" s="1693">
        <f>H157</f>
        <v>0</v>
      </c>
      <c r="L157" s="467">
        <v>0</v>
      </c>
      <c r="M157" s="620"/>
      <c r="N157" s="620"/>
    </row>
    <row r="158" spans="1:14" s="621" customFormat="1" ht="12" x14ac:dyDescent="0.2">
      <c r="A158" s="1849" t="s">
        <v>322</v>
      </c>
      <c r="B158" s="1850" t="s">
        <v>1956</v>
      </c>
      <c r="C158" s="617"/>
      <c r="D158" s="617"/>
      <c r="E158" s="617"/>
      <c r="F158" s="617"/>
      <c r="G158" s="617"/>
      <c r="H158" s="467">
        <v>0</v>
      </c>
      <c r="I158" s="617"/>
      <c r="J158" s="617"/>
      <c r="K158" s="1693">
        <f>H158</f>
        <v>0</v>
      </c>
      <c r="L158" s="467">
        <v>0</v>
      </c>
      <c r="M158" s="620"/>
      <c r="N158" s="620"/>
    </row>
    <row r="159" spans="1:14" s="621" customFormat="1" ht="12" x14ac:dyDescent="0.2">
      <c r="A159" s="1849" t="s">
        <v>1957</v>
      </c>
      <c r="B159" s="1850" t="s">
        <v>579</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1232</v>
      </c>
      <c r="B165" s="615" t="s">
        <v>638</v>
      </c>
      <c r="C165" s="617"/>
      <c r="D165" s="617"/>
      <c r="E165" s="617"/>
      <c r="F165" s="617"/>
      <c r="G165" s="617"/>
      <c r="H165" s="466">
        <v>0</v>
      </c>
      <c r="I165" s="617"/>
      <c r="J165" s="617"/>
      <c r="K165" s="1693">
        <f>SUM(C165:J165)</f>
        <v>0</v>
      </c>
      <c r="L165" s="466">
        <v>0</v>
      </c>
    </row>
    <row r="166" spans="1:14" x14ac:dyDescent="0.2">
      <c r="A166" s="1526" t="s">
        <v>91</v>
      </c>
      <c r="B166" s="629" t="s">
        <v>610</v>
      </c>
      <c r="C166" s="617"/>
      <c r="D166" s="617"/>
      <c r="E166" s="617"/>
      <c r="F166" s="617"/>
      <c r="G166" s="617"/>
      <c r="H166" s="466">
        <v>0</v>
      </c>
      <c r="I166" s="617"/>
      <c r="J166" s="617"/>
      <c r="K166" s="1693">
        <f>SUM(C166:J166)</f>
        <v>0</v>
      </c>
      <c r="L166" s="466">
        <v>0</v>
      </c>
    </row>
    <row r="167" spans="1:14" ht="12.75" customHeight="1" x14ac:dyDescent="0.2">
      <c r="A167" s="1526" t="s">
        <v>640</v>
      </c>
      <c r="B167" s="615" t="s">
        <v>639</v>
      </c>
      <c r="C167" s="617"/>
      <c r="D167" s="617"/>
      <c r="E167" s="617"/>
      <c r="F167" s="617"/>
      <c r="G167" s="617"/>
      <c r="H167" s="466">
        <v>0</v>
      </c>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164500</v>
      </c>
      <c r="I169" s="617"/>
      <c r="J169" s="617"/>
      <c r="K169" s="1693">
        <f>SUM(C169:H169)</f>
        <v>164500</v>
      </c>
      <c r="L169" s="657">
        <v>164500</v>
      </c>
    </row>
    <row r="170" spans="1:14" ht="33.75" customHeight="1" x14ac:dyDescent="0.2">
      <c r="A170" s="670" t="s">
        <v>1769</v>
      </c>
      <c r="B170" s="672" t="s">
        <v>31</v>
      </c>
      <c r="C170" s="617"/>
      <c r="D170" s="617"/>
      <c r="E170" s="617"/>
      <c r="F170" s="617"/>
      <c r="G170" s="617"/>
      <c r="H170" s="569">
        <v>660000</v>
      </c>
      <c r="I170" s="617"/>
      <c r="J170" s="617"/>
      <c r="K170" s="1693">
        <f>SUM(C170:J170)</f>
        <v>660000</v>
      </c>
      <c r="L170" s="569">
        <v>660000</v>
      </c>
    </row>
    <row r="171" spans="1:14" ht="15.75" customHeight="1" x14ac:dyDescent="0.2">
      <c r="A171" s="622" t="s">
        <v>790</v>
      </c>
      <c r="B171" s="673" t="s">
        <v>86</v>
      </c>
      <c r="C171" s="617"/>
      <c r="D171" s="617"/>
      <c r="E171" s="466">
        <v>0</v>
      </c>
      <c r="F171" s="617"/>
      <c r="G171" s="617"/>
      <c r="H171" s="569">
        <v>350</v>
      </c>
      <c r="I171" s="477"/>
      <c r="J171" s="617"/>
      <c r="K171" s="1693">
        <f>SUM(C171:J171)</f>
        <v>350</v>
      </c>
      <c r="L171" s="569">
        <v>1000</v>
      </c>
    </row>
    <row r="172" spans="1:14" ht="12.75" customHeight="1" thickBot="1" x14ac:dyDescent="0.25">
      <c r="A172" s="1690" t="s">
        <v>659</v>
      </c>
      <c r="B172" s="1691" t="s">
        <v>513</v>
      </c>
      <c r="C172" s="617"/>
      <c r="D172" s="617"/>
      <c r="E172" s="1699">
        <f>SUM(E168,E169,E170,E171)</f>
        <v>0</v>
      </c>
      <c r="F172" s="617"/>
      <c r="G172" s="617"/>
      <c r="H172" s="1699">
        <f>SUM(H168,H169,H170,H171)</f>
        <v>824850</v>
      </c>
      <c r="I172" s="639"/>
      <c r="J172" s="617"/>
      <c r="K172" s="1699">
        <f>SUM(K168,K169,K170,K171)</f>
        <v>824850</v>
      </c>
      <c r="L172" s="1699">
        <f>SUM(L168,L169,L170,L171)</f>
        <v>825500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824850</v>
      </c>
      <c r="I174" s="639"/>
      <c r="J174" s="617"/>
      <c r="K174" s="1699">
        <f>SUM(K160,K172,K173)</f>
        <v>824850</v>
      </c>
      <c r="L174" s="1699">
        <f>SUM(L160,L172,L173)</f>
        <v>825500</v>
      </c>
    </row>
    <row r="175" spans="1:14" ht="13.5" thickTop="1" x14ac:dyDescent="0.2">
      <c r="A175" s="2176" t="s">
        <v>1053</v>
      </c>
      <c r="B175" s="2177"/>
      <c r="C175" s="617"/>
      <c r="D175" s="617"/>
      <c r="E175" s="617"/>
      <c r="F175" s="617"/>
      <c r="G175" s="617"/>
      <c r="H175" s="619"/>
      <c r="I175" s="617"/>
      <c r="J175" s="617"/>
      <c r="K175" s="1706">
        <f>'Revenues 9-14'!E275-'Expenditures 15-22'!K174</f>
        <v>1256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70578</v>
      </c>
      <c r="D182" s="466">
        <v>23072</v>
      </c>
      <c r="E182" s="466">
        <v>1158592</v>
      </c>
      <c r="F182" s="466">
        <v>5972</v>
      </c>
      <c r="G182" s="466">
        <v>0</v>
      </c>
      <c r="H182" s="466">
        <v>0</v>
      </c>
      <c r="I182" s="467">
        <v>0</v>
      </c>
      <c r="J182" s="467">
        <v>0</v>
      </c>
      <c r="K182" s="1693">
        <f>SUM(C182:J182)</f>
        <v>1258214</v>
      </c>
      <c r="L182" s="466">
        <v>1182400</v>
      </c>
    </row>
    <row r="183" spans="1:14" ht="12.75" customHeight="1" thickBot="1" x14ac:dyDescent="0.25">
      <c r="A183" s="1531" t="s">
        <v>1037</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865</v>
      </c>
      <c r="B184" s="1691" t="s">
        <v>590</v>
      </c>
      <c r="C184" s="1699">
        <f>SUM(C180,C182,C183)</f>
        <v>70578</v>
      </c>
      <c r="D184" s="1699">
        <f t="shared" ref="D184:J184" si="17">SUM(D180,D182,D183)</f>
        <v>23072</v>
      </c>
      <c r="E184" s="1699">
        <f t="shared" si="17"/>
        <v>1158592</v>
      </c>
      <c r="F184" s="1699">
        <f t="shared" si="17"/>
        <v>5972</v>
      </c>
      <c r="G184" s="1699">
        <f t="shared" si="17"/>
        <v>0</v>
      </c>
      <c r="H184" s="1699">
        <f t="shared" si="17"/>
        <v>0</v>
      </c>
      <c r="I184" s="1699">
        <f t="shared" si="17"/>
        <v>0</v>
      </c>
      <c r="J184" s="1699">
        <f t="shared" si="17"/>
        <v>0</v>
      </c>
      <c r="K184" s="1699">
        <f>SUM(K180,K182,K183)</f>
        <v>1258214</v>
      </c>
      <c r="L184" s="1699">
        <f>SUM(L180, L182:L183)</f>
        <v>1182400</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3">
        <f t="shared" ref="K188:K193" si="18">SUM(E188,H188)</f>
        <v>0</v>
      </c>
      <c r="L188" s="466">
        <v>0</v>
      </c>
    </row>
    <row r="189" spans="1:14" x14ac:dyDescent="0.2">
      <c r="A189" s="1526" t="s">
        <v>322</v>
      </c>
      <c r="B189" s="615">
        <v>4120</v>
      </c>
      <c r="C189" s="617"/>
      <c r="D189" s="617"/>
      <c r="E189" s="466">
        <v>0</v>
      </c>
      <c r="F189" s="617"/>
      <c r="G189" s="617"/>
      <c r="H189" s="466">
        <v>0</v>
      </c>
      <c r="I189" s="477"/>
      <c r="J189" s="617"/>
      <c r="K189" s="1693">
        <f t="shared" si="18"/>
        <v>0</v>
      </c>
      <c r="L189" s="466">
        <v>0</v>
      </c>
    </row>
    <row r="190" spans="1:14" x14ac:dyDescent="0.2">
      <c r="A190" s="1526" t="s">
        <v>323</v>
      </c>
      <c r="B190" s="629">
        <v>4130</v>
      </c>
      <c r="C190" s="617"/>
      <c r="D190" s="617"/>
      <c r="E190" s="466">
        <v>0</v>
      </c>
      <c r="F190" s="617"/>
      <c r="G190" s="617"/>
      <c r="H190" s="466">
        <v>0</v>
      </c>
      <c r="I190" s="477"/>
      <c r="J190" s="617"/>
      <c r="K190" s="1693">
        <f t="shared" si="18"/>
        <v>0</v>
      </c>
      <c r="L190" s="466">
        <v>0</v>
      </c>
    </row>
    <row r="191" spans="1:14" x14ac:dyDescent="0.2">
      <c r="A191" s="1526" t="s">
        <v>721</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722</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v>0</v>
      </c>
      <c r="F195" s="617"/>
      <c r="G195" s="617"/>
      <c r="H195" s="657">
        <v>0</v>
      </c>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1232</v>
      </c>
      <c r="B201" s="629" t="s">
        <v>638</v>
      </c>
      <c r="C201" s="617"/>
      <c r="D201" s="617"/>
      <c r="E201" s="617"/>
      <c r="F201" s="617"/>
      <c r="G201" s="617"/>
      <c r="H201" s="466">
        <v>0</v>
      </c>
      <c r="I201" s="617"/>
      <c r="J201" s="617"/>
      <c r="K201" s="1693">
        <f>SUM(H201)</f>
        <v>0</v>
      </c>
      <c r="L201" s="466">
        <v>0</v>
      </c>
    </row>
    <row r="202" spans="1:14" x14ac:dyDescent="0.2">
      <c r="A202" s="1526" t="s">
        <v>91</v>
      </c>
      <c r="B202" s="615" t="s">
        <v>610</v>
      </c>
      <c r="C202" s="617"/>
      <c r="D202" s="617"/>
      <c r="E202" s="617"/>
      <c r="F202" s="617"/>
      <c r="G202" s="617"/>
      <c r="H202" s="466">
        <v>0</v>
      </c>
      <c r="I202" s="617"/>
      <c r="J202" s="617"/>
      <c r="K202" s="1693">
        <f>SUM(H202)</f>
        <v>0</v>
      </c>
      <c r="L202" s="466">
        <v>0</v>
      </c>
    </row>
    <row r="203" spans="1:14" x14ac:dyDescent="0.2">
      <c r="A203" s="1538" t="s">
        <v>640</v>
      </c>
      <c r="B203" s="615" t="s">
        <v>639</v>
      </c>
      <c r="C203" s="617"/>
      <c r="D203" s="617"/>
      <c r="E203" s="617"/>
      <c r="F203" s="617"/>
      <c r="G203" s="617"/>
      <c r="H203" s="471">
        <v>0</v>
      </c>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1770</v>
      </c>
      <c r="B206" s="673" t="s">
        <v>31</v>
      </c>
      <c r="C206" s="617"/>
      <c r="D206" s="617"/>
      <c r="E206" s="617"/>
      <c r="F206" s="617"/>
      <c r="G206" s="617"/>
      <c r="H206" s="466">
        <v>0</v>
      </c>
      <c r="I206" s="617"/>
      <c r="J206" s="617"/>
      <c r="K206" s="1693">
        <f>SUM(H206)</f>
        <v>0</v>
      </c>
      <c r="L206" s="466">
        <v>0</v>
      </c>
    </row>
    <row r="207" spans="1:14" ht="15.75" customHeight="1" x14ac:dyDescent="0.2">
      <c r="A207" s="622" t="s">
        <v>790</v>
      </c>
      <c r="B207" s="673" t="s">
        <v>86</v>
      </c>
      <c r="C207" s="617"/>
      <c r="D207" s="617"/>
      <c r="E207" s="617"/>
      <c r="F207" s="617"/>
      <c r="G207" s="617"/>
      <c r="H207" s="467">
        <v>0</v>
      </c>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70578</v>
      </c>
      <c r="D210" s="1692">
        <f>SUM(D184,D185)</f>
        <v>23072</v>
      </c>
      <c r="E210" s="1692">
        <f>SUM(E184,E185,E196)</f>
        <v>1158592</v>
      </c>
      <c r="F210" s="1692">
        <f>SUM(F184,F185)</f>
        <v>5972</v>
      </c>
      <c r="G210" s="1692">
        <f>SUM(G184,G185)</f>
        <v>0</v>
      </c>
      <c r="H210" s="1692">
        <f>SUM(H184,H185,H196,H208,H209)</f>
        <v>0</v>
      </c>
      <c r="I210" s="1692">
        <f>SUM(I184,I185)</f>
        <v>0</v>
      </c>
      <c r="J210" s="1692">
        <f>SUM(J184,J185)</f>
        <v>0</v>
      </c>
      <c r="K210" s="1693">
        <f>SUM(K184,K185,K196,K208,K209)</f>
        <v>1258214</v>
      </c>
      <c r="L210" s="1692">
        <f>SUM(L184,L185,L196,L208,L209)</f>
        <v>1182400</v>
      </c>
    </row>
    <row r="211" spans="1:14" ht="13.5" thickTop="1" x14ac:dyDescent="0.2">
      <c r="A211" s="2176" t="s">
        <v>1053</v>
      </c>
      <c r="B211" s="2177"/>
      <c r="C211" s="619"/>
      <c r="D211" s="619"/>
      <c r="E211" s="619"/>
      <c r="F211" s="619"/>
      <c r="G211" s="619"/>
      <c r="H211" s="619"/>
      <c r="I211" s="617"/>
      <c r="J211" s="617"/>
      <c r="K211" s="1706">
        <f>'Revenues 9-14'!F275-'Expenditures 15-22'!K210</f>
        <v>-483308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0</v>
      </c>
      <c r="E215" s="617"/>
      <c r="F215" s="617"/>
      <c r="G215" s="617"/>
      <c r="H215" s="617"/>
      <c r="I215" s="617"/>
      <c r="J215" s="617"/>
      <c r="K215" s="1693">
        <f>D215</f>
        <v>0</v>
      </c>
      <c r="L215" s="466">
        <v>0</v>
      </c>
    </row>
    <row r="216" spans="1:14" x14ac:dyDescent="0.2">
      <c r="A216" s="1526" t="s">
        <v>165</v>
      </c>
      <c r="B216" s="615" t="s">
        <v>1024</v>
      </c>
      <c r="C216" s="617"/>
      <c r="D216" s="467">
        <v>0</v>
      </c>
      <c r="E216" s="617"/>
      <c r="F216" s="617"/>
      <c r="G216" s="617"/>
      <c r="H216" s="617"/>
      <c r="I216" s="617"/>
      <c r="J216" s="617"/>
      <c r="K216" s="1693">
        <f t="shared" ref="K216:K228" si="19">D216</f>
        <v>0</v>
      </c>
      <c r="L216" s="466">
        <v>0</v>
      </c>
    </row>
    <row r="217" spans="1:14" x14ac:dyDescent="0.2">
      <c r="A217" s="1526" t="s">
        <v>166</v>
      </c>
      <c r="B217" s="615">
        <v>1200</v>
      </c>
      <c r="C217" s="617"/>
      <c r="D217" s="466">
        <v>621246</v>
      </c>
      <c r="E217" s="617"/>
      <c r="F217" s="617"/>
      <c r="G217" s="617"/>
      <c r="H217" s="617"/>
      <c r="I217" s="617"/>
      <c r="J217" s="617"/>
      <c r="K217" s="1693">
        <f t="shared" si="19"/>
        <v>621246</v>
      </c>
      <c r="L217" s="466">
        <v>657500</v>
      </c>
    </row>
    <row r="218" spans="1:14" x14ac:dyDescent="0.2">
      <c r="A218" s="1526" t="s">
        <v>296</v>
      </c>
      <c r="B218" s="615" t="s">
        <v>1025</v>
      </c>
      <c r="C218" s="617"/>
      <c r="D218" s="467">
        <v>36801</v>
      </c>
      <c r="E218" s="617"/>
      <c r="F218" s="617"/>
      <c r="G218" s="617"/>
      <c r="H218" s="617"/>
      <c r="I218" s="617"/>
      <c r="J218" s="617"/>
      <c r="K218" s="1693">
        <f t="shared" si="19"/>
        <v>36801</v>
      </c>
      <c r="L218" s="466">
        <v>46100</v>
      </c>
    </row>
    <row r="219" spans="1:14" x14ac:dyDescent="0.2">
      <c r="A219" s="1526" t="s">
        <v>297</v>
      </c>
      <c r="B219" s="615">
        <v>1250</v>
      </c>
      <c r="C219" s="617"/>
      <c r="D219" s="466">
        <v>0</v>
      </c>
      <c r="E219" s="617"/>
      <c r="F219" s="617"/>
      <c r="G219" s="617"/>
      <c r="H219" s="617"/>
      <c r="I219" s="617"/>
      <c r="J219" s="617"/>
      <c r="K219" s="1693">
        <f t="shared" si="19"/>
        <v>0</v>
      </c>
      <c r="L219" s="466">
        <v>0</v>
      </c>
    </row>
    <row r="220" spans="1:14" x14ac:dyDescent="0.2">
      <c r="A220" s="1526" t="s">
        <v>298</v>
      </c>
      <c r="B220" s="615" t="s">
        <v>163</v>
      </c>
      <c r="C220" s="617"/>
      <c r="D220" s="467">
        <v>0</v>
      </c>
      <c r="E220" s="617"/>
      <c r="F220" s="617"/>
      <c r="G220" s="617"/>
      <c r="H220" s="617"/>
      <c r="I220" s="617"/>
      <c r="J220" s="617"/>
      <c r="K220" s="1693">
        <f t="shared" si="19"/>
        <v>0</v>
      </c>
      <c r="L220" s="466">
        <v>0</v>
      </c>
    </row>
    <row r="221" spans="1:14" x14ac:dyDescent="0.2">
      <c r="A221" s="1526" t="s">
        <v>1019</v>
      </c>
      <c r="B221" s="615">
        <v>1300</v>
      </c>
      <c r="C221" s="617"/>
      <c r="D221" s="466">
        <v>0</v>
      </c>
      <c r="E221" s="617"/>
      <c r="F221" s="617"/>
      <c r="G221" s="617"/>
      <c r="H221" s="617"/>
      <c r="I221" s="617"/>
      <c r="J221" s="617"/>
      <c r="K221" s="1693">
        <f t="shared" si="19"/>
        <v>0</v>
      </c>
      <c r="L221" s="466">
        <v>0</v>
      </c>
    </row>
    <row r="222" spans="1:14" x14ac:dyDescent="0.2">
      <c r="A222" s="1526" t="s">
        <v>747</v>
      </c>
      <c r="B222" s="615">
        <v>1400</v>
      </c>
      <c r="C222" s="617"/>
      <c r="D222" s="466">
        <v>107347</v>
      </c>
      <c r="E222" s="617"/>
      <c r="F222" s="617"/>
      <c r="G222" s="617"/>
      <c r="H222" s="617"/>
      <c r="I222" s="617"/>
      <c r="J222" s="617"/>
      <c r="K222" s="1693">
        <f t="shared" si="19"/>
        <v>107347</v>
      </c>
      <c r="L222" s="466">
        <v>115250</v>
      </c>
    </row>
    <row r="223" spans="1:14" x14ac:dyDescent="0.2">
      <c r="A223" s="1526" t="s">
        <v>1020</v>
      </c>
      <c r="B223" s="615">
        <v>1500</v>
      </c>
      <c r="C223" s="617"/>
      <c r="D223" s="466">
        <v>1550</v>
      </c>
      <c r="E223" s="617"/>
      <c r="F223" s="617"/>
      <c r="G223" s="617"/>
      <c r="H223" s="617"/>
      <c r="I223" s="617"/>
      <c r="J223" s="617"/>
      <c r="K223" s="1693">
        <f t="shared" si="19"/>
        <v>1550</v>
      </c>
      <c r="L223" s="466">
        <v>2000</v>
      </c>
    </row>
    <row r="224" spans="1:14" x14ac:dyDescent="0.2">
      <c r="A224" s="1526" t="s">
        <v>1021</v>
      </c>
      <c r="B224" s="615">
        <v>1600</v>
      </c>
      <c r="C224" s="617"/>
      <c r="D224" s="466">
        <v>19063</v>
      </c>
      <c r="E224" s="617"/>
      <c r="F224" s="617"/>
      <c r="G224" s="617"/>
      <c r="H224" s="617"/>
      <c r="I224" s="617"/>
      <c r="J224" s="617"/>
      <c r="K224" s="1693">
        <f t="shared" si="19"/>
        <v>19063</v>
      </c>
      <c r="L224" s="466">
        <v>35725</v>
      </c>
    </row>
    <row r="225" spans="1:12" x14ac:dyDescent="0.2">
      <c r="A225" s="1526" t="s">
        <v>1044</v>
      </c>
      <c r="B225" s="615">
        <v>1650</v>
      </c>
      <c r="C225" s="617"/>
      <c r="D225" s="466">
        <v>0</v>
      </c>
      <c r="E225" s="617"/>
      <c r="F225" s="617"/>
      <c r="G225" s="617"/>
      <c r="H225" s="617"/>
      <c r="I225" s="617"/>
      <c r="J225" s="617"/>
      <c r="K225" s="1693">
        <f t="shared" si="19"/>
        <v>0</v>
      </c>
      <c r="L225" s="466">
        <v>0</v>
      </c>
    </row>
    <row r="226" spans="1:12" x14ac:dyDescent="0.2">
      <c r="A226" s="1526" t="s">
        <v>748</v>
      </c>
      <c r="B226" s="615" t="s">
        <v>164</v>
      </c>
      <c r="C226" s="617"/>
      <c r="D226" s="467">
        <v>0</v>
      </c>
      <c r="E226" s="617"/>
      <c r="F226" s="617"/>
      <c r="G226" s="617"/>
      <c r="H226" s="617"/>
      <c r="I226" s="617"/>
      <c r="J226" s="617"/>
      <c r="K226" s="1693">
        <f t="shared" si="19"/>
        <v>0</v>
      </c>
      <c r="L226" s="466">
        <v>0</v>
      </c>
    </row>
    <row r="227" spans="1:12" x14ac:dyDescent="0.2">
      <c r="A227" s="1526" t="s">
        <v>1148</v>
      </c>
      <c r="B227" s="615">
        <v>1800</v>
      </c>
      <c r="C227" s="617"/>
      <c r="D227" s="466">
        <v>0</v>
      </c>
      <c r="E227" s="617"/>
      <c r="F227" s="617"/>
      <c r="G227" s="617"/>
      <c r="H227" s="617"/>
      <c r="I227" s="617"/>
      <c r="J227" s="617"/>
      <c r="K227" s="1693">
        <f t="shared" si="19"/>
        <v>0</v>
      </c>
      <c r="L227" s="466">
        <v>0</v>
      </c>
    </row>
    <row r="228" spans="1:12" x14ac:dyDescent="0.2">
      <c r="A228" s="1526" t="s">
        <v>1149</v>
      </c>
      <c r="B228" s="615">
        <v>1900</v>
      </c>
      <c r="C228" s="617"/>
      <c r="D228" s="466">
        <v>376</v>
      </c>
      <c r="E228" s="617"/>
      <c r="F228" s="617"/>
      <c r="G228" s="617"/>
      <c r="H228" s="617"/>
      <c r="I228" s="617"/>
      <c r="J228" s="617"/>
      <c r="K228" s="1693">
        <f t="shared" si="19"/>
        <v>376</v>
      </c>
      <c r="L228" s="466">
        <v>17950</v>
      </c>
    </row>
    <row r="229" spans="1:12" ht="12.75" customHeight="1" thickBot="1" x14ac:dyDescent="0.25">
      <c r="A229" s="1690" t="s">
        <v>739</v>
      </c>
      <c r="B229" s="1697" t="s">
        <v>591</v>
      </c>
      <c r="C229" s="617"/>
      <c r="D229" s="1692">
        <f>SUM(D215:D228)</f>
        <v>786383</v>
      </c>
      <c r="E229" s="617"/>
      <c r="F229" s="617"/>
      <c r="G229" s="617"/>
      <c r="H229" s="617"/>
      <c r="I229" s="617"/>
      <c r="J229" s="617"/>
      <c r="K229" s="1692">
        <f>SUM(K215:K228)</f>
        <v>786383</v>
      </c>
      <c r="L229" s="1692">
        <f>SUM(L215:L228)</f>
        <v>874525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14246</v>
      </c>
      <c r="E232" s="617"/>
      <c r="F232" s="617"/>
      <c r="G232" s="617"/>
      <c r="H232" s="617"/>
      <c r="I232" s="617"/>
      <c r="J232" s="617"/>
      <c r="K232" s="1693">
        <f t="shared" ref="K232:K237" si="20">D232</f>
        <v>14246</v>
      </c>
      <c r="L232" s="466">
        <v>20300</v>
      </c>
    </row>
    <row r="233" spans="1:12" x14ac:dyDescent="0.2">
      <c r="A233" s="1526" t="s">
        <v>1151</v>
      </c>
      <c r="B233" s="615">
        <v>2120</v>
      </c>
      <c r="C233" s="617"/>
      <c r="D233" s="466">
        <v>0</v>
      </c>
      <c r="E233" s="617"/>
      <c r="F233" s="617"/>
      <c r="G233" s="617"/>
      <c r="H233" s="617"/>
      <c r="I233" s="617"/>
      <c r="J233" s="617"/>
      <c r="K233" s="1693">
        <f t="shared" si="20"/>
        <v>0</v>
      </c>
      <c r="L233" s="466">
        <v>0</v>
      </c>
    </row>
    <row r="234" spans="1:12" x14ac:dyDescent="0.2">
      <c r="A234" s="1526" t="s">
        <v>207</v>
      </c>
      <c r="B234" s="615">
        <v>2130</v>
      </c>
      <c r="C234" s="617"/>
      <c r="D234" s="466">
        <v>499177</v>
      </c>
      <c r="E234" s="617"/>
      <c r="F234" s="617"/>
      <c r="G234" s="617"/>
      <c r="H234" s="617"/>
      <c r="I234" s="617"/>
      <c r="J234" s="617"/>
      <c r="K234" s="1693">
        <f t="shared" si="20"/>
        <v>499177</v>
      </c>
      <c r="L234" s="466">
        <v>523175</v>
      </c>
    </row>
    <row r="235" spans="1:12" x14ac:dyDescent="0.2">
      <c r="A235" s="1526" t="s">
        <v>208</v>
      </c>
      <c r="B235" s="615">
        <v>2140</v>
      </c>
      <c r="C235" s="617"/>
      <c r="D235" s="466">
        <v>4305</v>
      </c>
      <c r="E235" s="617"/>
      <c r="F235" s="617"/>
      <c r="G235" s="617"/>
      <c r="H235" s="617"/>
      <c r="I235" s="617"/>
      <c r="J235" s="617"/>
      <c r="K235" s="1693">
        <f t="shared" si="20"/>
        <v>4305</v>
      </c>
      <c r="L235" s="466">
        <v>0</v>
      </c>
    </row>
    <row r="236" spans="1:12" x14ac:dyDescent="0.2">
      <c r="A236" s="1526" t="s">
        <v>209</v>
      </c>
      <c r="B236" s="615">
        <v>2150</v>
      </c>
      <c r="C236" s="617"/>
      <c r="D236" s="466">
        <v>83558</v>
      </c>
      <c r="E236" s="617"/>
      <c r="F236" s="617"/>
      <c r="G236" s="617"/>
      <c r="H236" s="617"/>
      <c r="I236" s="617"/>
      <c r="J236" s="617"/>
      <c r="K236" s="1693">
        <f t="shared" si="20"/>
        <v>83558</v>
      </c>
      <c r="L236" s="466">
        <v>70800</v>
      </c>
    </row>
    <row r="237" spans="1:12" x14ac:dyDescent="0.2">
      <c r="A237" s="1526" t="s">
        <v>167</v>
      </c>
      <c r="B237" s="615">
        <v>2190</v>
      </c>
      <c r="C237" s="617"/>
      <c r="D237" s="466">
        <v>0</v>
      </c>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601286</v>
      </c>
      <c r="E238" s="617"/>
      <c r="F238" s="617"/>
      <c r="G238" s="617"/>
      <c r="H238" s="617"/>
      <c r="I238" s="617"/>
      <c r="J238" s="617"/>
      <c r="K238" s="1692">
        <f>SUM(K232:K237)</f>
        <v>601286</v>
      </c>
      <c r="L238" s="1692">
        <f>SUM(L232:L237)</f>
        <v>614275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13582</v>
      </c>
      <c r="E240" s="617"/>
      <c r="F240" s="617"/>
      <c r="G240" s="617"/>
      <c r="H240" s="617"/>
      <c r="I240" s="617"/>
      <c r="J240" s="617"/>
      <c r="K240" s="1694">
        <f>D240</f>
        <v>13582</v>
      </c>
      <c r="L240" s="481">
        <v>7300</v>
      </c>
    </row>
    <row r="241" spans="1:12" x14ac:dyDescent="0.2">
      <c r="A241" s="1526" t="s">
        <v>869</v>
      </c>
      <c r="B241" s="615">
        <v>2220</v>
      </c>
      <c r="C241" s="617"/>
      <c r="D241" s="466">
        <v>14872</v>
      </c>
      <c r="E241" s="617"/>
      <c r="F241" s="617"/>
      <c r="G241" s="617"/>
      <c r="H241" s="617"/>
      <c r="I241" s="617"/>
      <c r="J241" s="617"/>
      <c r="K241" s="1694">
        <f>D241</f>
        <v>14872</v>
      </c>
      <c r="L241" s="466">
        <v>17250</v>
      </c>
    </row>
    <row r="242" spans="1:12" x14ac:dyDescent="0.2">
      <c r="A242" s="1526" t="s">
        <v>870</v>
      </c>
      <c r="B242" s="615">
        <v>2230</v>
      </c>
      <c r="C242" s="617"/>
      <c r="D242" s="466">
        <v>0</v>
      </c>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28454</v>
      </c>
      <c r="E243" s="617"/>
      <c r="F243" s="617"/>
      <c r="G243" s="617"/>
      <c r="H243" s="617"/>
      <c r="I243" s="617"/>
      <c r="J243" s="617"/>
      <c r="K243" s="1692">
        <f>SUM(K240:K242)</f>
        <v>28454</v>
      </c>
      <c r="L243" s="1692">
        <f>SUM(L240:L242)</f>
        <v>24550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0</v>
      </c>
      <c r="E245" s="617"/>
      <c r="F245" s="617"/>
      <c r="G245" s="617"/>
      <c r="H245" s="617"/>
      <c r="I245" s="617"/>
      <c r="J245" s="617"/>
      <c r="K245" s="1694">
        <f>D245</f>
        <v>0</v>
      </c>
      <c r="L245" s="481">
        <v>0</v>
      </c>
    </row>
    <row r="246" spans="1:12" x14ac:dyDescent="0.2">
      <c r="A246" s="1526" t="s">
        <v>872</v>
      </c>
      <c r="B246" s="615">
        <v>2320</v>
      </c>
      <c r="C246" s="617"/>
      <c r="D246" s="466">
        <v>35069</v>
      </c>
      <c r="E246" s="617"/>
      <c r="F246" s="617"/>
      <c r="G246" s="617"/>
      <c r="H246" s="617"/>
      <c r="I246" s="617"/>
      <c r="J246" s="617"/>
      <c r="K246" s="1694">
        <f t="shared" ref="K246:K256" si="21">D246</f>
        <v>35069</v>
      </c>
      <c r="L246" s="466">
        <v>38000</v>
      </c>
    </row>
    <row r="247" spans="1:12" x14ac:dyDescent="0.2">
      <c r="A247" s="1526" t="s">
        <v>873</v>
      </c>
      <c r="B247" s="615">
        <v>2330</v>
      </c>
      <c r="C247" s="617"/>
      <c r="D247" s="466">
        <v>0</v>
      </c>
      <c r="E247" s="617"/>
      <c r="F247" s="617"/>
      <c r="G247" s="617"/>
      <c r="H247" s="617"/>
      <c r="I247" s="617"/>
      <c r="J247" s="617"/>
      <c r="K247" s="1694">
        <f t="shared" si="21"/>
        <v>0</v>
      </c>
      <c r="L247" s="466">
        <v>0</v>
      </c>
    </row>
    <row r="248" spans="1:12" x14ac:dyDescent="0.2">
      <c r="A248" s="1527" t="s">
        <v>317</v>
      </c>
      <c r="B248" s="603" t="s">
        <v>299</v>
      </c>
      <c r="C248" s="617"/>
      <c r="D248" s="474">
        <v>0</v>
      </c>
      <c r="E248" s="617"/>
      <c r="F248" s="617"/>
      <c r="G248" s="617"/>
      <c r="H248" s="617"/>
      <c r="I248" s="617"/>
      <c r="J248" s="617"/>
      <c r="K248" s="1694">
        <f t="shared" si="21"/>
        <v>0</v>
      </c>
      <c r="L248" s="466">
        <v>0</v>
      </c>
    </row>
    <row r="249" spans="1:12" x14ac:dyDescent="0.2">
      <c r="A249" s="1528" t="s">
        <v>1905</v>
      </c>
      <c r="B249" s="684" t="s">
        <v>300</v>
      </c>
      <c r="C249" s="617"/>
      <c r="D249" s="474">
        <v>0</v>
      </c>
      <c r="E249" s="617"/>
      <c r="F249" s="617"/>
      <c r="G249" s="617"/>
      <c r="H249" s="617"/>
      <c r="I249" s="617"/>
      <c r="J249" s="617"/>
      <c r="K249" s="1694">
        <f t="shared" si="21"/>
        <v>0</v>
      </c>
      <c r="L249" s="466">
        <v>0</v>
      </c>
    </row>
    <row r="250" spans="1:12" x14ac:dyDescent="0.2">
      <c r="A250" s="1527" t="s">
        <v>1906</v>
      </c>
      <c r="B250" s="603" t="s">
        <v>301</v>
      </c>
      <c r="C250" s="617"/>
      <c r="D250" s="474">
        <v>0</v>
      </c>
      <c r="E250" s="617"/>
      <c r="F250" s="617"/>
      <c r="G250" s="617"/>
      <c r="H250" s="617"/>
      <c r="I250" s="617"/>
      <c r="J250" s="617"/>
      <c r="K250" s="1694">
        <f t="shared" si="21"/>
        <v>0</v>
      </c>
      <c r="L250" s="466">
        <v>0</v>
      </c>
    </row>
    <row r="251" spans="1:12" x14ac:dyDescent="0.2">
      <c r="A251" s="1527" t="s">
        <v>256</v>
      </c>
      <c r="B251" s="603" t="s">
        <v>302</v>
      </c>
      <c r="C251" s="617"/>
      <c r="D251" s="474">
        <v>0</v>
      </c>
      <c r="E251" s="617"/>
      <c r="F251" s="617"/>
      <c r="G251" s="617"/>
      <c r="H251" s="617"/>
      <c r="I251" s="617"/>
      <c r="J251" s="617"/>
      <c r="K251" s="1694">
        <f t="shared" si="21"/>
        <v>0</v>
      </c>
      <c r="L251" s="466">
        <v>0</v>
      </c>
    </row>
    <row r="252" spans="1:12" x14ac:dyDescent="0.2">
      <c r="A252" s="1527" t="s">
        <v>726</v>
      </c>
      <c r="B252" s="603" t="s">
        <v>303</v>
      </c>
      <c r="C252" s="617"/>
      <c r="D252" s="474">
        <v>0</v>
      </c>
      <c r="E252" s="617"/>
      <c r="F252" s="617"/>
      <c r="G252" s="617"/>
      <c r="H252" s="617"/>
      <c r="I252" s="617"/>
      <c r="J252" s="617"/>
      <c r="K252" s="1694">
        <f t="shared" si="21"/>
        <v>0</v>
      </c>
      <c r="L252" s="466">
        <v>0</v>
      </c>
    </row>
    <row r="253" spans="1:12" x14ac:dyDescent="0.2">
      <c r="A253" s="1527" t="s">
        <v>257</v>
      </c>
      <c r="B253" s="603" t="s">
        <v>304</v>
      </c>
      <c r="C253" s="617"/>
      <c r="D253" s="474">
        <v>0</v>
      </c>
      <c r="E253" s="617"/>
      <c r="F253" s="617"/>
      <c r="G253" s="617"/>
      <c r="H253" s="617"/>
      <c r="I253" s="617"/>
      <c r="J253" s="617"/>
      <c r="K253" s="1694">
        <f t="shared" si="21"/>
        <v>0</v>
      </c>
      <c r="L253" s="466">
        <v>0</v>
      </c>
    </row>
    <row r="254" spans="1:12" ht="22.5" x14ac:dyDescent="0.2">
      <c r="A254" s="1527" t="s">
        <v>1087</v>
      </c>
      <c r="B254" s="684" t="s">
        <v>305</v>
      </c>
      <c r="C254" s="617"/>
      <c r="D254" s="474">
        <v>0</v>
      </c>
      <c r="E254" s="617"/>
      <c r="F254" s="617"/>
      <c r="G254" s="617"/>
      <c r="H254" s="617"/>
      <c r="I254" s="617"/>
      <c r="J254" s="617"/>
      <c r="K254" s="1694">
        <f t="shared" si="21"/>
        <v>0</v>
      </c>
      <c r="L254" s="466">
        <v>0</v>
      </c>
    </row>
    <row r="255" spans="1:12" x14ac:dyDescent="0.2">
      <c r="A255" s="1527" t="s">
        <v>1088</v>
      </c>
      <c r="B255" s="603" t="s">
        <v>306</v>
      </c>
      <c r="C255" s="617"/>
      <c r="D255" s="474">
        <v>0</v>
      </c>
      <c r="E255" s="617"/>
      <c r="F255" s="617"/>
      <c r="G255" s="617"/>
      <c r="H255" s="617"/>
      <c r="I255" s="617"/>
      <c r="J255" s="617"/>
      <c r="K255" s="1694">
        <f t="shared" si="21"/>
        <v>0</v>
      </c>
      <c r="L255" s="466">
        <v>0</v>
      </c>
    </row>
    <row r="256" spans="1:12" x14ac:dyDescent="0.2">
      <c r="A256" s="1527" t="s">
        <v>1028</v>
      </c>
      <c r="B256" s="615" t="s">
        <v>307</v>
      </c>
      <c r="C256" s="617"/>
      <c r="D256" s="474">
        <v>0</v>
      </c>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35069</v>
      </c>
      <c r="E257" s="617"/>
      <c r="F257" s="617"/>
      <c r="G257" s="617"/>
      <c r="H257" s="617"/>
      <c r="I257" s="617"/>
      <c r="J257" s="617"/>
      <c r="K257" s="1692">
        <f>SUM(K245:K256)</f>
        <v>35069</v>
      </c>
      <c r="L257" s="1692">
        <f>SUM(L245:L256)</f>
        <v>38000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48717</v>
      </c>
      <c r="E259" s="617"/>
      <c r="F259" s="617"/>
      <c r="G259" s="617"/>
      <c r="H259" s="617"/>
      <c r="I259" s="617"/>
      <c r="J259" s="617"/>
      <c r="K259" s="1694">
        <f>D259</f>
        <v>48717</v>
      </c>
      <c r="L259" s="481">
        <v>48850</v>
      </c>
    </row>
    <row r="260" spans="1:14" s="598" customFormat="1" x14ac:dyDescent="0.2">
      <c r="A260" s="1544" t="s">
        <v>1904</v>
      </c>
      <c r="B260" s="629">
        <v>2490</v>
      </c>
      <c r="C260" s="617"/>
      <c r="D260" s="466">
        <v>6776</v>
      </c>
      <c r="E260" s="617"/>
      <c r="F260" s="617"/>
      <c r="G260" s="617"/>
      <c r="H260" s="617"/>
      <c r="I260" s="617"/>
      <c r="J260" s="617"/>
      <c r="K260" s="1694">
        <f>D260</f>
        <v>6776</v>
      </c>
      <c r="L260" s="466">
        <v>6800</v>
      </c>
      <c r="M260" s="210"/>
      <c r="N260" s="210"/>
    </row>
    <row r="261" spans="1:14" ht="12.75" customHeight="1" thickBot="1" x14ac:dyDescent="0.25">
      <c r="A261" s="1714" t="s">
        <v>281</v>
      </c>
      <c r="B261" s="1719" t="s">
        <v>34</v>
      </c>
      <c r="C261" s="617"/>
      <c r="D261" s="1692">
        <f>SUM(D259:D260)</f>
        <v>55493</v>
      </c>
      <c r="E261" s="617"/>
      <c r="F261" s="617"/>
      <c r="G261" s="617"/>
      <c r="H261" s="617"/>
      <c r="I261" s="617"/>
      <c r="J261" s="617"/>
      <c r="K261" s="1692">
        <f>SUM(K259:K260)</f>
        <v>55493</v>
      </c>
      <c r="L261" s="1692">
        <f>SUM(L259:L260)</f>
        <v>55650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0</v>
      </c>
      <c r="E263" s="617"/>
      <c r="F263" s="617"/>
      <c r="G263" s="617"/>
      <c r="H263" s="617"/>
      <c r="I263" s="617"/>
      <c r="J263" s="617"/>
      <c r="K263" s="1694">
        <f>D263</f>
        <v>0</v>
      </c>
      <c r="L263" s="481">
        <v>0</v>
      </c>
    </row>
    <row r="264" spans="1:14" x14ac:dyDescent="0.2">
      <c r="A264" s="1526" t="s">
        <v>483</v>
      </c>
      <c r="B264" s="686">
        <v>2520</v>
      </c>
      <c r="C264" s="617"/>
      <c r="D264" s="466">
        <v>39734</v>
      </c>
      <c r="E264" s="617"/>
      <c r="F264" s="617"/>
      <c r="G264" s="617"/>
      <c r="H264" s="617"/>
      <c r="I264" s="617"/>
      <c r="J264" s="617"/>
      <c r="K264" s="1694">
        <f t="shared" ref="K264:K269" si="22">D264</f>
        <v>39734</v>
      </c>
      <c r="L264" s="466">
        <v>43600</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105322</v>
      </c>
      <c r="E266" s="617"/>
      <c r="F266" s="617"/>
      <c r="G266" s="617"/>
      <c r="H266" s="617"/>
      <c r="I266" s="617"/>
      <c r="J266" s="617"/>
      <c r="K266" s="1694">
        <f t="shared" si="22"/>
        <v>105322</v>
      </c>
      <c r="L266" s="466">
        <v>115400</v>
      </c>
    </row>
    <row r="267" spans="1:14" x14ac:dyDescent="0.2">
      <c r="A267" s="1526" t="s">
        <v>1010</v>
      </c>
      <c r="B267" s="615">
        <v>2550</v>
      </c>
      <c r="C267" s="617"/>
      <c r="D267" s="466">
        <v>9040</v>
      </c>
      <c r="E267" s="617"/>
      <c r="F267" s="617"/>
      <c r="G267" s="617"/>
      <c r="H267" s="617"/>
      <c r="I267" s="617"/>
      <c r="J267" s="617"/>
      <c r="K267" s="1694">
        <f t="shared" si="22"/>
        <v>9040</v>
      </c>
      <c r="L267" s="466">
        <v>8550</v>
      </c>
    </row>
    <row r="268" spans="1:14" x14ac:dyDescent="0.2">
      <c r="A268" s="1526" t="s">
        <v>102</v>
      </c>
      <c r="B268" s="615">
        <v>2560</v>
      </c>
      <c r="C268" s="617"/>
      <c r="D268" s="466">
        <v>0</v>
      </c>
      <c r="E268" s="617"/>
      <c r="F268" s="617"/>
      <c r="G268" s="617"/>
      <c r="H268" s="617"/>
      <c r="I268" s="617"/>
      <c r="J268" s="617"/>
      <c r="K268" s="1694">
        <f t="shared" si="22"/>
        <v>0</v>
      </c>
      <c r="L268" s="466">
        <v>0</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154096</v>
      </c>
      <c r="E270" s="617"/>
      <c r="F270" s="617"/>
      <c r="G270" s="617"/>
      <c r="H270" s="617"/>
      <c r="I270" s="617"/>
      <c r="J270" s="617"/>
      <c r="K270" s="1692">
        <f>SUM(K263:K269)</f>
        <v>154096</v>
      </c>
      <c r="L270" s="1692">
        <f>SUM(L263:L269)</f>
        <v>167550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0</v>
      </c>
      <c r="E272" s="617"/>
      <c r="F272" s="617"/>
      <c r="G272" s="617"/>
      <c r="H272" s="617"/>
      <c r="I272" s="617"/>
      <c r="J272" s="617"/>
      <c r="K272" s="1694">
        <f>D272</f>
        <v>0</v>
      </c>
      <c r="L272" s="481">
        <v>0</v>
      </c>
    </row>
    <row r="273" spans="1:12" x14ac:dyDescent="0.2">
      <c r="A273" s="1526" t="s">
        <v>628</v>
      </c>
      <c r="B273" s="629">
        <v>2620</v>
      </c>
      <c r="C273" s="617"/>
      <c r="D273" s="466">
        <v>0</v>
      </c>
      <c r="E273" s="617"/>
      <c r="F273" s="617"/>
      <c r="G273" s="617"/>
      <c r="H273" s="617"/>
      <c r="I273" s="617"/>
      <c r="J273" s="617"/>
      <c r="K273" s="1694">
        <f>D273</f>
        <v>0</v>
      </c>
      <c r="L273" s="466">
        <v>0</v>
      </c>
    </row>
    <row r="274" spans="1:12" ht="12" customHeight="1" x14ac:dyDescent="0.2">
      <c r="A274" s="1526" t="s">
        <v>1121</v>
      </c>
      <c r="B274" s="615">
        <v>2630</v>
      </c>
      <c r="C274" s="617"/>
      <c r="D274" s="466">
        <v>0</v>
      </c>
      <c r="E274" s="617"/>
      <c r="F274" s="617"/>
      <c r="G274" s="617"/>
      <c r="H274" s="617"/>
      <c r="I274" s="617"/>
      <c r="J274" s="617"/>
      <c r="K274" s="1694">
        <f>D274</f>
        <v>0</v>
      </c>
      <c r="L274" s="466">
        <v>0</v>
      </c>
    </row>
    <row r="275" spans="1:12" x14ac:dyDescent="0.2">
      <c r="A275" s="1526" t="s">
        <v>423</v>
      </c>
      <c r="B275" s="615">
        <v>2640</v>
      </c>
      <c r="C275" s="617"/>
      <c r="D275" s="466">
        <v>0</v>
      </c>
      <c r="E275" s="617"/>
      <c r="F275" s="617"/>
      <c r="G275" s="617"/>
      <c r="H275" s="617"/>
      <c r="I275" s="617"/>
      <c r="J275" s="617"/>
      <c r="K275" s="1694">
        <f>D275</f>
        <v>0</v>
      </c>
      <c r="L275" s="466">
        <v>0</v>
      </c>
    </row>
    <row r="276" spans="1:12" x14ac:dyDescent="0.2">
      <c r="A276" s="1526" t="s">
        <v>424</v>
      </c>
      <c r="B276" s="615">
        <v>2660</v>
      </c>
      <c r="C276" s="617"/>
      <c r="D276" s="466">
        <v>7009</v>
      </c>
      <c r="E276" s="617"/>
      <c r="F276" s="617"/>
      <c r="G276" s="617"/>
      <c r="H276" s="617"/>
      <c r="I276" s="617"/>
      <c r="J276" s="617"/>
      <c r="K276" s="1694">
        <f>D276</f>
        <v>7009</v>
      </c>
      <c r="L276" s="466">
        <v>7450</v>
      </c>
    </row>
    <row r="277" spans="1:12" ht="12.75" customHeight="1" thickBot="1" x14ac:dyDescent="0.25">
      <c r="A277" s="1713" t="s">
        <v>37</v>
      </c>
      <c r="B277" s="1691" t="s">
        <v>36</v>
      </c>
      <c r="C277" s="617"/>
      <c r="D277" s="1692">
        <f>SUM(D272:D276)</f>
        <v>7009</v>
      </c>
      <c r="E277" s="617"/>
      <c r="F277" s="617"/>
      <c r="G277" s="617"/>
      <c r="H277" s="617"/>
      <c r="I277" s="617"/>
      <c r="J277" s="617"/>
      <c r="K277" s="1692">
        <f>SUM(K272:K276)</f>
        <v>7009</v>
      </c>
      <c r="L277" s="1692">
        <f>SUM(L272:L276)</f>
        <v>7450</v>
      </c>
    </row>
    <row r="278" spans="1:12" ht="13.5" customHeight="1" thickTop="1" x14ac:dyDescent="0.2">
      <c r="A278" s="1532" t="s">
        <v>1037</v>
      </c>
      <c r="B278" s="656" t="s">
        <v>595</v>
      </c>
      <c r="C278" s="617"/>
      <c r="D278" s="657">
        <v>0</v>
      </c>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881407</v>
      </c>
      <c r="E279" s="617"/>
      <c r="F279" s="617"/>
      <c r="G279" s="617"/>
      <c r="H279" s="617"/>
      <c r="I279" s="617"/>
      <c r="J279" s="617"/>
      <c r="K279" s="1699">
        <f>SUM(K238,K243,K257,K261,K270,K277,K278)</f>
        <v>881407</v>
      </c>
      <c r="L279" s="1699">
        <f>SUM(L238,L243,L257,L261,L270,L277,L278)</f>
        <v>907475</v>
      </c>
    </row>
    <row r="280" spans="1:12" ht="15.75" customHeight="1" thickTop="1" thickBot="1" x14ac:dyDescent="0.25">
      <c r="A280" s="1646" t="s">
        <v>930</v>
      </c>
      <c r="B280" s="1635">
        <v>3000</v>
      </c>
      <c r="C280" s="617"/>
      <c r="D280" s="576">
        <v>0</v>
      </c>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v>0</v>
      </c>
      <c r="E282" s="617"/>
      <c r="F282" s="617"/>
      <c r="G282" s="617"/>
      <c r="H282" s="617"/>
      <c r="I282" s="617"/>
      <c r="J282" s="617"/>
      <c r="K282" s="1693">
        <f>D282</f>
        <v>0</v>
      </c>
      <c r="L282" s="467">
        <v>0</v>
      </c>
    </row>
    <row r="283" spans="1:12" x14ac:dyDescent="0.2">
      <c r="A283" s="1526" t="s">
        <v>322</v>
      </c>
      <c r="B283" s="615">
        <v>4120</v>
      </c>
      <c r="C283" s="617"/>
      <c r="D283" s="466">
        <v>0</v>
      </c>
      <c r="E283" s="617"/>
      <c r="F283" s="617"/>
      <c r="G283" s="617"/>
      <c r="H283" s="617"/>
      <c r="I283" s="617"/>
      <c r="J283" s="617"/>
      <c r="K283" s="1693">
        <f>D283</f>
        <v>0</v>
      </c>
      <c r="L283" s="466">
        <v>0</v>
      </c>
    </row>
    <row r="284" spans="1:12" x14ac:dyDescent="0.2">
      <c r="A284" s="1526" t="s">
        <v>721</v>
      </c>
      <c r="B284" s="615">
        <v>4140</v>
      </c>
      <c r="C284" s="617"/>
      <c r="D284" s="467">
        <v>0</v>
      </c>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1232</v>
      </c>
      <c r="B290" s="629" t="s">
        <v>638</v>
      </c>
      <c r="C290" s="617"/>
      <c r="D290" s="617"/>
      <c r="E290" s="617"/>
      <c r="F290" s="617"/>
      <c r="G290" s="617"/>
      <c r="H290" s="466">
        <v>0</v>
      </c>
      <c r="I290" s="617"/>
      <c r="J290" s="617"/>
      <c r="K290" s="1693">
        <f>H290</f>
        <v>0</v>
      </c>
      <c r="L290" s="466">
        <v>0</v>
      </c>
    </row>
    <row r="291" spans="1:14" x14ac:dyDescent="0.2">
      <c r="A291" s="1526" t="s">
        <v>91</v>
      </c>
      <c r="B291" s="615" t="s">
        <v>610</v>
      </c>
      <c r="C291" s="617"/>
      <c r="D291" s="617"/>
      <c r="E291" s="617"/>
      <c r="F291" s="617"/>
      <c r="G291" s="617"/>
      <c r="H291" s="466">
        <v>0</v>
      </c>
      <c r="I291" s="617"/>
      <c r="J291" s="617"/>
      <c r="K291" s="1693">
        <f>H291</f>
        <v>0</v>
      </c>
      <c r="L291" s="466">
        <v>0</v>
      </c>
    </row>
    <row r="292" spans="1:14" x14ac:dyDescent="0.2">
      <c r="A292" s="1526" t="s">
        <v>786</v>
      </c>
      <c r="B292" s="615" t="s">
        <v>639</v>
      </c>
      <c r="C292" s="617"/>
      <c r="D292" s="617"/>
      <c r="E292" s="617"/>
      <c r="F292" s="617"/>
      <c r="G292" s="617"/>
      <c r="H292" s="466">
        <v>0</v>
      </c>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4" t="s">
        <v>526</v>
      </c>
      <c r="B295" s="2195"/>
      <c r="C295" s="617"/>
      <c r="D295" s="1692">
        <f>SUM(D229,D279,D280,D285)</f>
        <v>1667790</v>
      </c>
      <c r="E295" s="617"/>
      <c r="F295" s="617"/>
      <c r="G295" s="617"/>
      <c r="H295" s="1692">
        <f>H293</f>
        <v>0</v>
      </c>
      <c r="I295" s="617"/>
      <c r="J295" s="617"/>
      <c r="K295" s="1692">
        <f>SUM(K229,K279,K280,K285,K293,K294)</f>
        <v>1667790</v>
      </c>
      <c r="L295" s="1692">
        <f>SUM(L229,L279,L280,L285,L293,L294)</f>
        <v>1782000</v>
      </c>
    </row>
    <row r="296" spans="1:14" ht="13.5" thickTop="1" x14ac:dyDescent="0.2">
      <c r="A296" s="2176" t="s">
        <v>1053</v>
      </c>
      <c r="B296" s="2177"/>
      <c r="C296" s="617"/>
      <c r="D296" s="619"/>
      <c r="E296" s="617"/>
      <c r="F296" s="617"/>
      <c r="G296" s="617"/>
      <c r="H296" s="688"/>
      <c r="I296" s="617"/>
      <c r="J296" s="617"/>
      <c r="K296" s="1706">
        <f>'Revenues 9-14'!G275-'Expenditures 15-22'!K295</f>
        <v>-36402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37553</v>
      </c>
      <c r="F301" s="466">
        <v>0</v>
      </c>
      <c r="G301" s="466">
        <v>39600</v>
      </c>
      <c r="H301" s="466">
        <v>0</v>
      </c>
      <c r="I301" s="467">
        <v>0</v>
      </c>
      <c r="J301" s="467">
        <v>0</v>
      </c>
      <c r="K301" s="1693">
        <f>SUM(C301:J301)</f>
        <v>77153</v>
      </c>
      <c r="L301" s="467">
        <v>82213</v>
      </c>
    </row>
    <row r="302" spans="1:14" ht="13.5" customHeight="1" x14ac:dyDescent="0.2">
      <c r="A302" s="1539" t="s">
        <v>1037</v>
      </c>
      <c r="B302" s="615" t="s">
        <v>595</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37553</v>
      </c>
      <c r="F303" s="1699">
        <f t="shared" si="23"/>
        <v>0</v>
      </c>
      <c r="G303" s="1699">
        <f t="shared" si="23"/>
        <v>39600</v>
      </c>
      <c r="H303" s="1699">
        <f t="shared" si="23"/>
        <v>0</v>
      </c>
      <c r="I303" s="1699">
        <f t="shared" si="23"/>
        <v>0</v>
      </c>
      <c r="J303" s="1699">
        <f t="shared" si="23"/>
        <v>0</v>
      </c>
      <c r="K303" s="1699">
        <f t="shared" si="23"/>
        <v>77153</v>
      </c>
      <c r="L303" s="1699">
        <f t="shared" si="23"/>
        <v>82213</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v>0</v>
      </c>
      <c r="F306" s="617"/>
      <c r="G306" s="617"/>
      <c r="H306" s="467">
        <v>0</v>
      </c>
      <c r="I306" s="617"/>
      <c r="J306" s="617"/>
      <c r="K306" s="1693">
        <f>SUM(E306,H306)</f>
        <v>0</v>
      </c>
      <c r="L306" s="467">
        <v>0</v>
      </c>
    </row>
    <row r="307" spans="1:14" x14ac:dyDescent="0.2">
      <c r="A307" s="1526" t="s">
        <v>322</v>
      </c>
      <c r="B307" s="615">
        <v>4120</v>
      </c>
      <c r="C307" s="617"/>
      <c r="D307" s="617"/>
      <c r="E307" s="467">
        <v>0</v>
      </c>
      <c r="F307" s="617"/>
      <c r="G307" s="617"/>
      <c r="H307" s="467">
        <v>0</v>
      </c>
      <c r="I307" s="477"/>
      <c r="J307" s="617"/>
      <c r="K307" s="1693">
        <f>SUM(E307,H307)</f>
        <v>0</v>
      </c>
      <c r="L307" s="466">
        <v>0</v>
      </c>
    </row>
    <row r="308" spans="1:14" x14ac:dyDescent="0.2">
      <c r="A308" s="1526" t="s">
        <v>721</v>
      </c>
      <c r="B308" s="615">
        <v>4140</v>
      </c>
      <c r="C308" s="617"/>
      <c r="D308" s="617"/>
      <c r="E308" s="467">
        <v>0</v>
      </c>
      <c r="F308" s="617"/>
      <c r="G308" s="617"/>
      <c r="H308" s="467">
        <v>0</v>
      </c>
      <c r="I308" s="477"/>
      <c r="J308" s="617"/>
      <c r="K308" s="1693">
        <f>SUM(E308,H308)</f>
        <v>0</v>
      </c>
      <c r="L308" s="466">
        <v>0</v>
      </c>
    </row>
    <row r="309" spans="1:14" ht="12.75" customHeight="1" x14ac:dyDescent="0.2">
      <c r="A309" s="1530" t="s">
        <v>722</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1" t="s">
        <v>295</v>
      </c>
      <c r="B312" s="2192"/>
      <c r="C312" s="1692">
        <f>SUM(C303)</f>
        <v>0</v>
      </c>
      <c r="D312" s="1692">
        <f>SUM(D303)</f>
        <v>0</v>
      </c>
      <c r="E312" s="1692">
        <f>SUM(E303,E310)</f>
        <v>37553</v>
      </c>
      <c r="F312" s="1692">
        <f>SUM(F303)</f>
        <v>0</v>
      </c>
      <c r="G312" s="1692">
        <f>SUM(G303)</f>
        <v>39600</v>
      </c>
      <c r="H312" s="1692">
        <f>SUM(H303,H310)</f>
        <v>0</v>
      </c>
      <c r="I312" s="1692">
        <f>SUM(I303)</f>
        <v>0</v>
      </c>
      <c r="J312" s="1692">
        <f>SUM(J303)</f>
        <v>0</v>
      </c>
      <c r="K312" s="1692">
        <f>SUM(K303,K310,K311)</f>
        <v>77153</v>
      </c>
      <c r="L312" s="1692">
        <f>SUM(L303,L310,L311)</f>
        <v>82213</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-46712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1905</v>
      </c>
      <c r="B320" s="699" t="s">
        <v>300</v>
      </c>
      <c r="C320" s="467">
        <v>0</v>
      </c>
      <c r="D320" s="467">
        <v>0</v>
      </c>
      <c r="E320" s="467">
        <v>0</v>
      </c>
      <c r="F320" s="467">
        <v>0</v>
      </c>
      <c r="G320" s="467">
        <v>0</v>
      </c>
      <c r="H320" s="467">
        <v>0</v>
      </c>
      <c r="I320" s="467">
        <v>0</v>
      </c>
      <c r="J320" s="467">
        <v>0</v>
      </c>
      <c r="K320" s="1693">
        <f t="shared" ref="K320:K327" si="24">SUM(C320:J320)</f>
        <v>0</v>
      </c>
      <c r="L320" s="467">
        <v>0</v>
      </c>
      <c r="M320" s="666"/>
      <c r="N320" s="666"/>
    </row>
    <row r="321" spans="1:14" s="675" customFormat="1" x14ac:dyDescent="0.2">
      <c r="A321" s="1541" t="s">
        <v>318</v>
      </c>
      <c r="B321" s="698" t="s">
        <v>301</v>
      </c>
      <c r="C321" s="467">
        <v>0</v>
      </c>
      <c r="D321" s="467">
        <v>0</v>
      </c>
      <c r="E321" s="467">
        <v>0</v>
      </c>
      <c r="F321" s="467">
        <v>0</v>
      </c>
      <c r="G321" s="467">
        <v>0</v>
      </c>
      <c r="H321" s="467">
        <v>0</v>
      </c>
      <c r="I321" s="467">
        <v>0</v>
      </c>
      <c r="J321" s="467">
        <v>0</v>
      </c>
      <c r="K321" s="1693">
        <f t="shared" si="24"/>
        <v>0</v>
      </c>
      <c r="L321" s="467">
        <v>0</v>
      </c>
      <c r="M321" s="666"/>
      <c r="N321" s="666"/>
    </row>
    <row r="322" spans="1:14" s="675" customFormat="1" x14ac:dyDescent="0.2">
      <c r="A322" s="1541" t="s">
        <v>256</v>
      </c>
      <c r="B322" s="698" t="s">
        <v>302</v>
      </c>
      <c r="C322" s="467">
        <v>0</v>
      </c>
      <c r="D322" s="467">
        <v>0</v>
      </c>
      <c r="E322" s="467">
        <v>0</v>
      </c>
      <c r="F322" s="467">
        <v>0</v>
      </c>
      <c r="G322" s="467">
        <v>0</v>
      </c>
      <c r="H322" s="467">
        <v>0</v>
      </c>
      <c r="I322" s="467">
        <v>0</v>
      </c>
      <c r="J322" s="467">
        <v>0</v>
      </c>
      <c r="K322" s="1693">
        <f t="shared" si="24"/>
        <v>0</v>
      </c>
      <c r="L322" s="467">
        <v>0</v>
      </c>
      <c r="M322" s="666"/>
      <c r="N322" s="666"/>
    </row>
    <row r="323" spans="1:14" s="675" customFormat="1" x14ac:dyDescent="0.2">
      <c r="A323" s="1541" t="s">
        <v>726</v>
      </c>
      <c r="B323" s="698" t="s">
        <v>303</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1087</v>
      </c>
      <c r="B325" s="699" t="s">
        <v>305</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1028</v>
      </c>
      <c r="B327" s="698" t="s">
        <v>307</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322</v>
      </c>
      <c r="B333" s="1850" t="s">
        <v>1956</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3">
        <f>H337</f>
        <v>0</v>
      </c>
      <c r="L337" s="478">
        <v>0</v>
      </c>
    </row>
    <row r="338" spans="1:14" ht="12.75" customHeight="1" x14ac:dyDescent="0.2">
      <c r="A338" s="1540" t="s">
        <v>1232</v>
      </c>
      <c r="B338" s="691" t="s">
        <v>638</v>
      </c>
      <c r="C338" s="639"/>
      <c r="D338" s="639"/>
      <c r="E338" s="639"/>
      <c r="F338" s="639"/>
      <c r="G338" s="639"/>
      <c r="H338" s="478">
        <v>0</v>
      </c>
      <c r="I338" s="639"/>
      <c r="J338" s="639"/>
      <c r="K338" s="1693">
        <f>H338</f>
        <v>0</v>
      </c>
      <c r="L338" s="478">
        <v>0</v>
      </c>
    </row>
    <row r="339" spans="1:14" x14ac:dyDescent="0.2">
      <c r="A339" s="1526" t="s">
        <v>957</v>
      </c>
      <c r="B339" s="629">
        <v>5150</v>
      </c>
      <c r="C339" s="639"/>
      <c r="D339" s="639"/>
      <c r="E339" s="639"/>
      <c r="F339" s="639"/>
      <c r="G339" s="639"/>
      <c r="H339" s="467">
        <v>0</v>
      </c>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9" t="s">
        <v>1053</v>
      </c>
      <c r="B343" s="2190"/>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v>0</v>
      </c>
      <c r="I354" s="702"/>
      <c r="J354" s="617"/>
      <c r="K354" s="1721">
        <f>H354</f>
        <v>0</v>
      </c>
      <c r="L354" s="471">
        <v>0</v>
      </c>
    </row>
    <row r="355" spans="1:14" ht="12.75" customHeight="1" x14ac:dyDescent="0.2">
      <c r="A355" s="1535" t="s">
        <v>1963</v>
      </c>
      <c r="B355" s="691" t="s">
        <v>1956</v>
      </c>
      <c r="C355" s="617"/>
      <c r="D355" s="617"/>
      <c r="E355" s="617"/>
      <c r="F355" s="617"/>
      <c r="G355" s="617"/>
      <c r="H355" s="467">
        <v>0</v>
      </c>
      <c r="I355" s="702"/>
      <c r="J355" s="617"/>
      <c r="K355" s="1765">
        <f>H355</f>
        <v>0</v>
      </c>
      <c r="L355" s="467">
        <v>0</v>
      </c>
    </row>
    <row r="356" spans="1:14" ht="12.75" customHeight="1" x14ac:dyDescent="0.2">
      <c r="A356" s="1857" t="s">
        <v>722</v>
      </c>
      <c r="B356" s="684" t="s">
        <v>579</v>
      </c>
      <c r="C356" s="617"/>
      <c r="D356" s="617"/>
      <c r="E356" s="617"/>
      <c r="F356" s="617"/>
      <c r="G356" s="617"/>
      <c r="H356" s="479">
        <v>0</v>
      </c>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640</v>
      </c>
      <c r="B361" s="603" t="s">
        <v>639</v>
      </c>
      <c r="C361" s="617"/>
      <c r="D361" s="617"/>
      <c r="E361" s="617"/>
      <c r="F361" s="617"/>
      <c r="G361" s="617"/>
      <c r="H361" s="467">
        <v>0</v>
      </c>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6" t="s">
        <v>1053</v>
      </c>
      <c r="B368" s="2177"/>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6ce3111e-7420-4802-b50a-75d4e9a0b980"/>
    <ds:schemaRef ds:uri="http://purl.org/dc/elements/1.1/"/>
    <ds:schemaRef ds:uri="http://purl.org/dc/terms/"/>
    <ds:schemaRef ds:uri="d21dc803-237d-4c68-8692-8d731fd29118"/>
    <ds:schemaRef ds:uri="http://schemas.microsoft.com/sharepoint/v3"/>
    <ds:schemaRef ds:uri="4d435f69-8686-490b-bd6d-b153bf22ab50"/>
    <ds:schemaRef ds:uri="http://schemas.microsoft.com/office/infopath/2007/PartnerControls"/>
    <ds:schemaRef ds:uri="http://schemas.openxmlformats.org/package/2006/metadata/core-properties"/>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2018-12-10T16:38:14Z</cp:lastPrinted>
  <dcterms:created xsi:type="dcterms:W3CDTF">2003-10-29T19:06:34Z</dcterms:created>
  <dcterms:modified xsi:type="dcterms:W3CDTF">2018-12-12T14:56:00Z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