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Joint Agreements 18\"/>
    </mc:Choice>
  </mc:AlternateContent>
  <bookViews>
    <workbookView xWindow="10650" yWindow="-60" windowWidth="9900" windowHeight="7425" tabRatio="834"/>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L20" i="179" l="1"/>
  <c r="D233" i="29" l="1"/>
  <c r="D240" i="29"/>
  <c r="D217" i="29"/>
  <c r="F46" i="29"/>
  <c r="F40" i="29"/>
  <c r="C40" i="29"/>
  <c r="E44" i="29"/>
  <c r="D52" i="29"/>
  <c r="E68" i="29"/>
  <c r="E46" i="29"/>
  <c r="C38" i="29"/>
  <c r="C39" i="29"/>
  <c r="D39" i="29"/>
  <c r="D182" i="34" l="1"/>
  <c r="J24" i="2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F79" i="34" l="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9" i="179" l="1"/>
  <c r="L28" i="179"/>
  <c r="L27" i="179"/>
  <c r="L26" i="179"/>
  <c r="L25" i="179"/>
  <c r="L24" i="179"/>
  <c r="L23" i="179"/>
  <c r="L22"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82" i="36"/>
  <c r="D78" i="36"/>
  <c r="K75" i="29"/>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c r="B4266" i="106"/>
  <c r="D4266" i="106"/>
  <c r="B4267" i="106"/>
  <c r="D4267" i="106"/>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c r="B5117" i="106"/>
  <c r="D5117" i="106"/>
  <c r="B5118" i="106"/>
  <c r="D5118" i="106"/>
  <c r="B5119" i="106"/>
  <c r="D5119" i="106"/>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68" i="36"/>
  <c r="D69" i="36"/>
  <c r="D71" i="36"/>
  <c r="D72" i="36"/>
  <c r="D79" i="36"/>
  <c r="B64" i="127"/>
  <c r="B65" i="127"/>
  <c r="D26" i="108"/>
  <c r="E26" i="108"/>
  <c r="F26" i="108"/>
  <c r="G26" i="108"/>
  <c r="E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E109" i="5"/>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E4" i="4"/>
  <c r="B2630" i="106" s="1"/>
  <c r="D2630" i="106" s="1"/>
  <c r="D5" i="4"/>
  <c r="B3406" i="106" s="1"/>
  <c r="D3406" i="106" s="1"/>
  <c r="G5" i="4"/>
  <c r="B3409" i="106" s="1"/>
  <c r="D3409" i="106" s="1"/>
  <c r="G14" i="4"/>
  <c r="B2609" i="106" s="1"/>
  <c r="D2609" i="106" s="1"/>
  <c r="F13" i="4"/>
  <c r="B2596" i="106" s="1"/>
  <c r="D2596"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1" i="34"/>
  <c r="F128" i="34"/>
  <c r="F111" i="34"/>
  <c r="B5847" i="106"/>
  <c r="D5847" i="106" s="1"/>
  <c r="B5752" i="106"/>
  <c r="D5752" i="106" s="1"/>
  <c r="B5599" i="106"/>
  <c r="D5599" i="106" s="1"/>
  <c r="K274" i="5"/>
  <c r="H109" i="5"/>
  <c r="B6025" i="106" s="1"/>
  <c r="D6025" i="106" s="1"/>
  <c r="D109" i="5"/>
  <c r="B5356" i="106" s="1"/>
  <c r="D5356" i="106" s="1"/>
  <c r="F106" i="34"/>
  <c r="D7" i="7"/>
  <c r="B1763" i="106" s="1"/>
  <c r="D1763" i="106" s="1"/>
  <c r="H4" i="4"/>
  <c r="B2655" i="106" s="1"/>
  <c r="D2655" i="106" s="1"/>
  <c r="D4" i="4"/>
  <c r="B2564" i="106" s="1"/>
  <c r="D2564"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B7041" i="106"/>
  <c r="D7041" i="106" s="1"/>
  <c r="H173" i="5"/>
  <c r="F127" i="34"/>
  <c r="F130" i="34"/>
  <c r="F136" i="34"/>
  <c r="K28" i="118"/>
  <c r="O27" i="118" s="1"/>
  <c r="O29" i="118" s="1"/>
  <c r="I274" i="5"/>
  <c r="K173" i="5"/>
  <c r="K6" i="4" s="1"/>
  <c r="B3570" i="106" s="1"/>
  <c r="D3570" i="106" s="1"/>
  <c r="F172" i="5"/>
  <c r="B5644" i="106" s="1"/>
  <c r="D5644" i="106" s="1"/>
  <c r="G109" i="5"/>
  <c r="B6024" i="106" s="1"/>
  <c r="D6024" i="106" s="1"/>
  <c r="D7245" i="106"/>
  <c r="I342" i="29"/>
  <c r="B7222" i="106" s="1"/>
  <c r="D7222" i="106" s="1"/>
  <c r="K350" i="29"/>
  <c r="K76" i="4"/>
  <c r="B3586" i="106" s="1"/>
  <c r="D3586" i="106" s="1"/>
  <c r="K24" i="12"/>
  <c r="B3649" i="106"/>
  <c r="D3649" i="106" s="1"/>
  <c r="G367" i="29"/>
  <c r="B3621" i="106"/>
  <c r="D3621" i="106" s="1"/>
  <c r="C367" i="29"/>
  <c r="K285" i="29"/>
  <c r="B1329" i="106"/>
  <c r="D1329" i="106" s="1"/>
  <c r="F61" i="34"/>
  <c r="B1410" i="106"/>
  <c r="D1410" i="106" s="1"/>
  <c r="D27" i="108"/>
  <c r="G4" i="4"/>
  <c r="B2603" i="106" s="1"/>
  <c r="D2603" i="106" s="1"/>
  <c r="C172" i="5"/>
  <c r="C109" i="5"/>
  <c r="B5121" i="106" s="1"/>
  <c r="D5121" i="106" s="1"/>
  <c r="D54" i="36"/>
  <c r="L367" i="29"/>
  <c r="L342" i="29"/>
  <c r="L312" i="29"/>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D18" i="7"/>
  <c r="B4105" i="106" s="1"/>
  <c r="D4105" i="106" s="1"/>
  <c r="K7" i="4"/>
  <c r="B3718" i="106" s="1"/>
  <c r="D3718" i="106" s="1"/>
  <c r="F105" i="34"/>
  <c r="F107" i="34"/>
  <c r="F109" i="5"/>
  <c r="J109" i="5"/>
  <c r="J173" i="5"/>
  <c r="C4" i="4"/>
  <c r="B2551" i="106" s="1"/>
  <c r="D2551" i="106" s="1"/>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73" i="5"/>
  <c r="J24" i="12"/>
  <c r="B7730" i="106"/>
  <c r="D7730" i="106" s="1"/>
  <c r="H275" i="5"/>
  <c r="B5914" i="106"/>
  <c r="D5914" i="106" s="1"/>
  <c r="F275" i="5"/>
  <c r="J7" i="4"/>
  <c r="B2657" i="106"/>
  <c r="D2657" i="106" s="1"/>
  <c r="D274" i="5"/>
  <c r="B3447" i="106"/>
  <c r="D3447" i="106" s="1"/>
  <c r="D19" i="7"/>
  <c r="B1775" i="106" s="1"/>
  <c r="D1775" i="106" s="1"/>
  <c r="B7270" i="106"/>
  <c r="B7733" i="106" l="1"/>
  <c r="D7733" i="106" s="1"/>
  <c r="K26" i="12"/>
  <c r="B7743" i="106" s="1"/>
  <c r="D7743" i="106" s="1"/>
  <c r="H367" i="29"/>
  <c r="B3660" i="106" s="1"/>
  <c r="D3660" i="106" s="1"/>
  <c r="B5906" i="106"/>
  <c r="D5906" i="106" s="1"/>
  <c r="H6" i="4"/>
  <c r="F73" i="34"/>
  <c r="G15" i="4"/>
  <c r="B6032" i="106" s="1"/>
  <c r="D6032" i="106" s="1"/>
  <c r="B3670" i="106"/>
  <c r="D3670" i="106" s="1"/>
  <c r="K352" i="29"/>
  <c r="L16" i="11"/>
  <c r="B2061" i="106" s="1"/>
  <c r="D2061" i="106" s="1"/>
  <c r="D44" i="36"/>
  <c r="C114" i="29"/>
  <c r="B757" i="106" s="1"/>
  <c r="D757" i="106" s="1"/>
  <c r="B5214" i="106"/>
  <c r="D5214" i="106" s="1"/>
  <c r="C173" i="5"/>
  <c r="L114" i="29"/>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J8" i="4"/>
  <c r="D7" i="4"/>
  <c r="D275" i="5"/>
  <c r="B5507" i="106"/>
  <c r="D5507" i="106" s="1"/>
  <c r="B7298" i="106"/>
  <c r="B7299" i="106"/>
  <c r="K13" i="4" l="1"/>
  <c r="B3572" i="106" s="1"/>
  <c r="D3572" i="106" s="1"/>
  <c r="B3672" i="106"/>
  <c r="D3672" i="106" s="1"/>
  <c r="K367" i="29"/>
  <c r="B2656" i="106"/>
  <c r="D2656" i="106" s="1"/>
  <c r="H8" i="4"/>
  <c r="E41" i="108"/>
  <c r="E44" i="108" s="1"/>
  <c r="E45" i="108" s="1"/>
  <c r="G41" i="108"/>
  <c r="G44" i="108" s="1"/>
  <c r="G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B2658" i="106" l="1"/>
  <c r="D2658" i="106" s="1"/>
  <c r="H10" i="4"/>
  <c r="B4127" i="106" s="1"/>
  <c r="D4127"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F179"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B3588" i="106" l="1"/>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<sst xmlns="http://schemas.openxmlformats.org/spreadsheetml/2006/main" count="5092" uniqueCount="2135">
  <si>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</si>
  <si>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</si>
  <si>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</si>
  <si>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</si>
  <si>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</si>
  <si>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</si>
  <si>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</si>
  <si>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</si>
  <si>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</si>
  <si>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</si>
  <si>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</si>
  <si>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</si>
  <si>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</si>
  <si>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</si>
  <si>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</si>
  <si>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</si>
  <si>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</si>
  <si>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</si>
  <si>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</si>
  <si>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</si>
  <si>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</si>
  <si>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</si>
  <si>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</si>
  <si>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</si>
  <si>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</si>
  <si>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</si>
  <si>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</si>
  <si>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</si>
  <si>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</si>
  <si>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</si>
  <si>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</si>
  <si>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</si>
  <si>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</si>
  <si>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</si>
  <si>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</si>
  <si>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</si>
  <si>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</si>
  <si>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</si>
  <si>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</si>
  <si>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</si>
  <si>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</si>
  <si>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</si>
  <si>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</si>
  <si>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</si>
  <si>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</si>
  <si>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</si>
  <si>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</si>
  <si>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</si>
  <si>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</si>
  <si>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</si>
  <si>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</si>
  <si>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</si>
  <si>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</si>
  <si>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</si>
  <si>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</si>
  <si>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</si>
  <si>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</si>
  <si>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</si>
  <si>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</si>
  <si>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</si>
  <si>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</si>
  <si>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</si>
  <si>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</si>
  <si>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</si>
  <si>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</si>
  <si>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</si>
  <si>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</si>
  <si>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</si>
  <si>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</si>
  <si>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</si>
  <si>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</si>
  <si>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</si>
  <si>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</si>
  <si>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</si>
  <si>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</si>
  <si>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</si>
  <si>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</si>
  <si>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</si>
  <si>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</si>
  <si>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</si>
  <si>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</si>
  <si>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</si>
  <si>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</si>
  <si>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</si>
  <si>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</si>
  <si>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</si>
  <si>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</si>
  <si>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</si>
  <si>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</si>
  <si>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</si>
  <si>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</si>
  <si>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</si>
  <si>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</si>
  <si>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</si>
  <si>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</si>
  <si>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</si>
  <si>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</si>
  <si>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</si>
  <si>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</si>
  <si>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</si>
  <si>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</si>
  <si>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</si>
  <si>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</si>
  <si>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</si>
  <si>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</si>
  <si>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</si>
  <si>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</si>
  <si>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</si>
  <si>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</si>
  <si>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</si>
  <si>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</si>
  <si>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</si>
  <si>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</si>
  <si>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</si>
  <si>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</si>
  <si>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</si>
  <si>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</si>
  <si>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</si>
  <si>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</si>
  <si>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</si>
  <si>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</si>
  <si>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</si>
  <si>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</si>
  <si>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</si>
  <si>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</si>
  <si>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</si>
  <si>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</si>
  <si>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</si>
  <si>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</si>
  <si>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</si>
  <si>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</si>
  <si>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</si>
  <si>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</si>
  <si>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</si>
  <si>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</si>
  <si>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</si>
  <si>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</si>
  <si>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</si>
  <si>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</si>
  <si>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</si>
  <si>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</si>
  <si>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</si>
  <si>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</si>
  <si>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</si>
  <si>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</si>
  <si>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</si>
  <si>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</si>
  <si>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</si>
  <si>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</si>
  <si>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</si>
  <si>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</si>
  <si>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</si>
  <si>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</si>
  <si>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</si>
  <si>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</si>
  <si>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</si>
  <si>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</si>
  <si>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</si>
  <si>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</si>
  <si>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</si>
  <si>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</si>
  <si>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</si>
  <si>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</si>
  <si>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</si>
  <si>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</si>
  <si>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</si>
  <si>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</si>
  <si>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</si>
  <si>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</si>
  <si>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</si>
  <si>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</si>
  <si>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</si>
  <si>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</si>
  <si>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</si>
  <si>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</si>
  <si>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</si>
  <si>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</si>
  <si>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</si>
  <si>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</si>
  <si>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</si>
  <si>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</si>
  <si>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</si>
  <si>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</si>
  <si>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</si>
  <si>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</si>
  <si>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</si>
  <si>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</si>
  <si>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</si>
  <si>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</si>
  <si>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</si>
  <si>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</si>
  <si>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</si>
  <si>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</si>
  <si>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</si>
  <si>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</si>
  <si>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</si>
  <si>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</si>
  <si>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</si>
  <si>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</si>
  <si>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</si>
  <si>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</si>
  <si>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</si>
  <si>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</si>
  <si>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</si>
  <si>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</si>
  <si>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</si>
  <si>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</si>
  <si>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</si>
  <si>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</si>
  <si>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</si>
  <si>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</si>
  <si>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</si>
  <si>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</si>
  <si>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</si>
  <si>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</si>
  <si>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</si>
  <si>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</si>
  <si>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</si>
  <si>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</si>
  <si>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</si>
  <si>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</si>
  <si>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</si>
  <si>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</si>
  <si>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</si>
  <si>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</si>
  <si>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</si>
  <si>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</si>
  <si>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</si>
  <si>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</si>
  <si>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</si>
  <si>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</si>
  <si>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</si>
  <si>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</si>
  <si>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</si>
  <si>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</si>
  <si>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</si>
  <si>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</si>
  <si>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</si>
  <si>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</si>
  <si>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</si>
  <si>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</si>
  <si>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</si>
  <si>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</si>
  <si>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</si>
  <si>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</si>
  <si>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</si>
  <si>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</si>
  <si>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</si>
  <si>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</si>
  <si>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</si>
  <si>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</si>
  <si>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</si>
  <si>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</si>
  <si>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</si>
  <si>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</si>
  <si>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</si>
  <si>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</si>
  <si>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</si>
  <si>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</si>
  <si>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</si>
  <si>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</si>
  <si>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</si>
  <si>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</si>
  <si>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</si>
  <si>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</si>
  <si>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</si>
  <si>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</si>
  <si>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</si>
  <si>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</si>
  <si>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</si>
  <si>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</si>
  <si>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</si>
  <si>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</si>
  <si>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</si>
  <si>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</si>
  <si>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</si>
  <si>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</si>
  <si>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</si>
  <si>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</si>
  <si>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</si>
  <si>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</si>
  <si>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</si>
  <si>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</si>
  <si>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</si>
  <si>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</si>
  <si>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</si>
  <si>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</si>
  <si>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</si>
  <si>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</si>
  <si>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</si>
  <si>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</si>
  <si>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</si>
  <si>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</si>
  <si>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</si>
  <si>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</si>
  <si>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</si>
  <si>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</si>
  <si>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</si>
  <si>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</si>
  <si>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</si>
  <si>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</si>
  <si>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</si>
  <si>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</si>
  <si>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</si>
  <si>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</si>
  <si>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</si>
  <si>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</si>
  <si>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</si>
  <si>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</si>
  <si>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</si>
  <si>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</si>
  <si>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</si>
  <si>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</si>
  <si>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</si>
  <si>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</si>
  <si>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</si>
  <si>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</si>
  <si>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</si>
  <si>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</si>
  <si>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</si>
  <si>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</si>
  <si>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</si>
  <si>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</si>
  <si>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</si>
  <si>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</si>
  <si>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</si>
  <si>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</si>
  <si>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</si>
  <si>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</si>
  <si>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</si>
  <si>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</si>
  <si>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</si>
  <si>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</si>
  <si>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</si>
  <si>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</si>
  <si>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</si>
  <si>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</si>
  <si>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</si>
  <si>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</si>
  <si>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</si>
  <si>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</si>
  <si>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</si>
  <si>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</si>
  <si>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</si>
  <si>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</si>
  <si>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</si>
  <si>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</si>
  <si>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</si>
  <si>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</si>
  <si>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</si>
  <si>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</si>
  <si>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</si>
  <si>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</si>
  <si>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</si>
  <si>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</si>
  <si>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</si>
  <si>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</si>
  <si>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</si>
  <si>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</si>
  <si>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</si>
  <si>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</si>
  <si>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</si>
  <si>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</si>
  <si>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</si>
  <si>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</si>
  <si>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</si>
  <si>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</si>
  <si>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</si>
  <si>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</si>
  <si>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</si>
  <si>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</si>
  <si>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</si>
  <si>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</si>
  <si>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</si>
  <si>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</si>
  <si>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</si>
  <si>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</si>
  <si>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</si>
  <si>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</si>
  <si>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</si>
  <si>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</si>
  <si>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</si>
  <si>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</si>
  <si>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</si>
  <si>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</si>
  <si>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</si>
  <si>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</si>
  <si>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</si>
  <si>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</si>
  <si>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</si>
  <si>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</si>
  <si>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</si>
  <si>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</si>
  <si>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</si>
  <si>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</si>
  <si>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</si>
  <si>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</si>
  <si>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</si>
  <si>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</si>
  <si>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</si>
  <si>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</si>
  <si>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</si>
  <si>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</si>
  <si>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</si>
  <si>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</si>
  <si>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</si>
  <si>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</si>
  <si>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</si>
  <si>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</si>
  <si>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</si>
  <si>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</si>
  <si>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</si>
  <si>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</si>
  <si>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</si>
  <si>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</si>
  <si>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</si>
  <si>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</si>
  <si>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</si>
  <si>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</si>
  <si>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</si>
  <si>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</si>
  <si>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</si>
  <si>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</si>
  <si>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</si>
  <si>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</si>
  <si>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</si>
  <si>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</si>
  <si>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</si>
  <si>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</si>
  <si>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</si>
  <si>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</si>
  <si>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</si>
  <si>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</si>
  <si>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</si>
  <si>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</si>
  <si>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</si>
  <si>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</si>
  <si>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</si>
  <si>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</si>
  <si>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</si>
  <si>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</si>
  <si>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</si>
  <si>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</si>
  <si>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</si>
  <si>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</si>
  <si>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</si>
  <si>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</si>
  <si>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</si>
  <si>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</si>
  <si>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</si>
  <si>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</si>
  <si>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</si>
  <si>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</si>
  <si>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</si>
  <si>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</si>
  <si>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</si>
  <si>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</si>
  <si>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</si>
  <si>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</si>
  <si>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</si>
  <si>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</si>
  <si>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</si>
  <si>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</si>
  <si>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</si>
  <si>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</si>
  <si>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</si>
  <si>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</si>
  <si>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</si>
  <si>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</si>
  <si>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</si>
  <si>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</si>
  <si>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</si>
  <si>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</si>
  <si>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</si>
  <si>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</si>
  <si>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</si>
  <si>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</si>
  <si>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</si>
  <si>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</si>
  <si>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</si>
  <si>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</si>
  <si>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</si>
  <si>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</si>
  <si>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</si>
  <si>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</si>
  <si>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</si>
  <si>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</si>
  <si>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</si>
  <si>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</si>
  <si>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</si>
  <si>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</si>
  <si>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</si>
  <si>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</si>
  <si>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</si>
  <si>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</si>
  <si>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</si>
  <si>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</si>
  <si>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</si>
  <si>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</si>
  <si>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</si>
  <si>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</si>
  <si>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</si>
  <si>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</si>
  <si>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</si>
  <si>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</si>
  <si>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</si>
  <si>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</si>
  <si>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</si>
  <si>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</si>
  <si>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</si>
  <si>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</si>
  <si>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</si>
  <si>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</si>
  <si>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</si>
  <si>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</si>
  <si>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</si>
  <si>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</si>
  <si>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</si>
  <si>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</si>
  <si>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</si>
  <si>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</si>
  <si>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</si>
  <si>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</si>
  <si>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</si>
  <si>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</si>
  <si>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</si>
  <si>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</si>
  <si>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</si>
  <si>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</si>
  <si>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</si>
  <si>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</si>
  <si>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</si>
  <si>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</si>
  <si>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</si>
  <si>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</si>
  <si>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</si>
  <si>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</si>
  <si>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</si>
  <si>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</si>
  <si>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</si>
  <si>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</si>
  <si>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</si>
  <si>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</si>
  <si>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</si>
  <si>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</si>
  <si>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</si>
  <si>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</si>
  <si>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</si>
  <si>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</si>
  <si>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</si>
  <si>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</si>
  <si>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</si>
  <si>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</si>
  <si>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</si>
  <si>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</si>
  <si>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</si>
  <si>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</si>
  <si>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</si>
  <si>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</si>
  <si>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</si>
  <si>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</si>
  <si>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</si>
  <si>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</si>
  <si>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</si>
  <si>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</si>
  <si>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</si>
  <si>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</si>
  <si>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</si>
  <si>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</si>
  <si>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</si>
  <si>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</si>
  <si>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</si>
  <si>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</si>
  <si>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</si>
  <si>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</si>
  <si>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</si>
  <si>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</si>
  <si>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</si>
  <si>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</si>
  <si>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</si>
  <si>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</si>
  <si>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</si>
  <si>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</si>
  <si>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</si>
  <si>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</si>
  <si>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</si>
  <si>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</si>
  <si>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</si>
  <si>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</si>
  <si>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</si>
  <si>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</si>
  <si>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</si>
  <si>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</si>
  <si>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</si>
  <si>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</si>
  <si>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</si>
  <si>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</si>
  <si>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</si>
  <si>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</si>
  <si>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</si>
  <si>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</si>
  <si>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</si>
  <si>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</si>
  <si>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</si>
  <si>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</si>
  <si>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</si>
  <si>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</si>
  <si>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</si>
  <si>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</si>
  <si>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</si>
  <si>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</si>
  <si>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</si>
  <si>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</si>
  <si>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</si>
  <si>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</si>
  <si>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</si>
  <si>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</si>
  <si>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</si>
  <si>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</si>
  <si>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</si>
  <si>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</si>
  <si>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</si>
  <si>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</si>
  <si>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</si>
  <si>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</si>
  <si>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</si>
  <si>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</si>
  <si>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</si>
  <si>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</si>
  <si>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</si>
  <si>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</si>
  <si>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</si>
  <si>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</si>
  <si>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</si>
  <si>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</si>
  <si>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</si>
  <si>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</si>
  <si>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</si>
  <si>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</si>
  <si>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</si>
  <si>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</si>
  <si>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</si>
  <si>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</si>
  <si>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</si>
  <si>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</si>
  <si>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</si>
  <si>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</si>
  <si>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</si>
  <si>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</si>
  <si>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</si>
  <si>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</si>
  <si>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</si>
  <si>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</si>
  <si>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</si>
  <si>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</si>
  <si>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</si>
  <si>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</si>
  <si>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</si>
  <si>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</si>
  <si>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</si>
  <si>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</si>
  <si>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</si>
  <si>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</si>
  <si>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</si>
  <si>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</si>
  <si>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</si>
  <si>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</si>
  <si>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</si>
  <si>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</si>
  <si>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</si>
  <si>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</si>
  <si>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</si>
  <si>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</si>
  <si>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</si>
  <si>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</si>
  <si>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</si>
  <si>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</si>
  <si>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</si>
  <si>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</si>
  <si>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</si>
  <si>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</si>
  <si>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</si>
  <si>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</si>
  <si>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</si>
  <si>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</si>
  <si>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</si>
  <si>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</si>
  <si>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</si>
  <si>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</si>
  <si>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</si>
  <si>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</si>
  <si>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</si>
  <si>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</si>
  <si>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</si>
  <si>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</si>
  <si>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</si>
  <si>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</si>
  <si>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</si>
  <si>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</si>
  <si>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</si>
  <si>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</si>
  <si>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</si>
  <si>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</si>
  <si>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</si>
  <si>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</si>
  <si>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</si>
  <si>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</si>
  <si>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</si>
  <si>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</si>
  <si>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</si>
  <si>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</si>
  <si>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</si>
  <si>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</si>
  <si>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</si>
  <si>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</si>
  <si>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</si>
  <si>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</si>
  <si>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</si>
  <si>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</si>
  <si>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</si>
  <si>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</si>
  <si>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</si>
  <si>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</si>
  <si>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</si>
  <si>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</si>
  <si>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</si>
  <si>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</si>
  <si>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</si>
  <si>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</si>
  <si>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</si>
  <si>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</si>
  <si>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</si>
  <si>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</si>
  <si>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</si>
  <si>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</si>
  <si>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</si>
  <si>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</si>
  <si>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</si>
  <si>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</si>
  <si>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</si>
  <si>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</si>
  <si>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</si>
  <si>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</si>
  <si>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</si>
  <si>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</si>
  <si>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</si>
  <si>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</si>
  <si>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</si>
  <si>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</si>
  <si>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</si>
  <si>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</si>
  <si>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</si>
  <si>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</si>
  <si>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</si>
  <si>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</si>
  <si>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</si>
  <si>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</si>
  <si>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</si>
  <si>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</si>
  <si>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</si>
  <si>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</si>
  <si>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</si>
  <si>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</si>
  <si>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</si>
  <si>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</si>
  <si>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</si>
  <si>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</si>
  <si>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</si>
  <si>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</si>
  <si>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</si>
  <si>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</si>
  <si>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</si>
  <si>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</si>
  <si>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</si>
  <si>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</si>
  <si>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</si>
  <si>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</si>
  <si>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</si>
  <si>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</si>
  <si>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</si>
  <si>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</si>
  <si>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</si>
  <si>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</si>
  <si>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</si>
  <si>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</si>
  <si>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</si>
  <si>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</si>
  <si>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</si>
  <si>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</si>
  <si>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</si>
  <si>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</si>
  <si>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</si>
  <si>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</si>
  <si>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</si>
  <si>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</si>
  <si>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</si>
  <si>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</si>
  <si>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</si>
  <si>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</si>
  <si>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</si>
  <si>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</si>
  <si>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</si>
  <si>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</si>
  <si>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</si>
  <si>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</si>
  <si>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</si>
  <si>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</si>
  <si>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</si>
  <si>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</si>
  <si>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</si>
  <si>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</si>
  <si>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</si>
  <si>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</si>
  <si>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</si>
  <si>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</si>
  <si>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</si>
  <si>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</si>
  <si>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</si>
  <si>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</si>
  <si>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</si>
  <si>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</si>
  <si>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</si>
  <si>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</si>
  <si>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</si>
  <si>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</si>
  <si>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</si>
  <si>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</si>
  <si>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</si>
  <si>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</si>
  <si>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</si>
  <si>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</si>
  <si>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</si>
  <si>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</si>
  <si>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</si>
  <si>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</si>
  <si>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</si>
  <si>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</si>
  <si>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</si>
  <si>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</si>
  <si>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</si>
  <si>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</si>
  <si>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</si>
  <si>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</si>
  <si>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</si>
  <si>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</si>
  <si>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</si>
  <si>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</si>
  <si>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</si>
  <si>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</si>
  <si>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</si>
  <si>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</si>
  <si>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</si>
  <si>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</si>
  <si>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</si>
  <si>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</si>
  <si>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</si>
  <si>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</si>
  <si>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</si>
  <si>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</si>
  <si>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</si>
  <si>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</si>
  <si>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</si>
  <si>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</si>
  <si>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</si>
  <si>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</si>
  <si>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</si>
  <si>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</si>
  <si>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</si>
  <si>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</si>
  <si>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</si>
  <si>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</si>
  <si>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</si>
  <si>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</si>
  <si>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</si>
  <si>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</si>
  <si>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</si>
  <si>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</si>
  <si>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</si>
  <si>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</si>
  <si>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</si>
  <si>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</si>
  <si>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</si>
  <si>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</si>
  <si>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</si>
  <si>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</si>
  <si>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</si>
  <si>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</si>
  <si>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</si>
  <si>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</si>
  <si>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</si>
  <si>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</si>
  <si>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</si>
  <si>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</si>
  <si>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</si>
  <si>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</si>
  <si>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</si>
  <si>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</si>
  <si>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</si>
  <si>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</si>
  <si>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</si>
  <si>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</si>
  <si>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</si>
  <si>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</si>
  <si>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</si>
  <si>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</si>
  <si>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</si>
  <si>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</si>
  <si>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</si>
  <si>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</si>
  <si>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</si>
  <si>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</si>
  <si>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</si>
  <si>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</si>
  <si>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</si>
  <si>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</si>
  <si>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</si>
  <si>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</si>
  <si>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</si>
  <si>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</si>
  <si>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</si>
  <si>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</si>
  <si>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</si>
  <si>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</si>
  <si>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</si>
  <si>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</si>
  <si>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</si>
  <si>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</si>
  <si>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</si>
  <si>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</si>
  <si>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</si>
  <si>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</si>
  <si>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</si>
  <si>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</si>
  <si>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</si>
  <si>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</si>
  <si>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</si>
  <si>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</si>
  <si>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</si>
  <si>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</si>
  <si>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</si>
  <si>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</si>
  <si>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</si>
  <si>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</si>
  <si>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</si>
  <si>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</si>
  <si>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</si>
  <si>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</si>
  <si>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</si>
  <si>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</si>
  <si>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</si>
  <si>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</si>
  <si>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</si>
  <si>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</si>
  <si>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</si>
  <si>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</si>
  <si>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</si>
  <si>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</si>
  <si>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</si>
  <si>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</si>
  <si>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</si>
  <si>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</si>
  <si>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</si>
  <si>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</si>
  <si>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</si>
  <si>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</si>
  <si>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</si>
  <si>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</si>
  <si>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</si>
  <si>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</si>
  <si>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</si>
  <si>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</si>
  <si>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</si>
  <si>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</si>
  <si>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</si>
  <si>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</si>
  <si>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</si>
  <si>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</si>
  <si>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</si>
  <si>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</si>
  <si>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</si>
  <si>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</si>
  <si>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</si>
  <si>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</si>
  <si>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</si>
  <si>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</si>
  <si>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</si>
  <si>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</si>
  <si>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</si>
  <si>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</si>
  <si>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</si>
  <si>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</si>
  <si>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</si>
  <si>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</si>
  <si>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</si>
  <si>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</si>
  <si>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</si>
  <si>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</si>
  <si>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</si>
  <si>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</si>
  <si>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</si>
  <si>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</si>
  <si>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</si>
  <si>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</si>
  <si>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</si>
  <si>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</si>
  <si>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</si>
  <si>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</si>
  <si>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</si>
  <si>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</si>
  <si>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</si>
  <si>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</si>
  <si>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</si>
  <si>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</si>
  <si>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</si>
  <si>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</si>
  <si>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</si>
  <si>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</si>
  <si>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</si>
  <si>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</si>
  <si>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</si>
  <si>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</si>
  <si>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</si>
  <si>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</si>
  <si>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</si>
  <si>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</si>
  <si>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</si>
  <si>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</si>
  <si>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</si>
  <si>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</si>
  <si>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</si>
  <si>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</si>
  <si>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</si>
  <si>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</si>
  <si>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</si>
  <si>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</si>
  <si>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</si>
  <si>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</si>
  <si>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</si>
  <si>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</si>
  <si>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</si>
  <si>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</si>
  <si>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</si>
  <si>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</si>
  <si>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</si>
  <si>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</si>
  <si>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</si>
  <si>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</si>
  <si>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</si>
  <si>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</si>
  <si>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</si>
  <si>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</si>
  <si>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</si>
  <si>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</si>
  <si>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</si>
  <si>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</si>
  <si>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</si>
  <si>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</si>
  <si>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</si>
  <si>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</si>
  <si>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</si>
  <si>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</si>
  <si>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</si>
  <si>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</si>
  <si>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</si>
  <si>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</si>
  <si>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</si>
  <si>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</si>
  <si>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</si>
  <si>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</si>
  <si>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</si>
  <si>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</si>
  <si>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</si>
  <si>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</si>
  <si>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</si>
  <si>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</si>
  <si>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</si>
  <si>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</si>
  <si>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</si>
  <si>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</si>
  <si>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</si>
  <si>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</si>
  <si>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</si>
  <si>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</si>
  <si>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</si>
  <si>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</si>
  <si>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</si>
  <si>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</si>
  <si>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</si>
  <si>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</si>
  <si>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</si>
  <si>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</si>
  <si>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</si>
  <si>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</si>
  <si>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</si>
  <si>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</si>
  <si>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</si>
  <si>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</si>
  <si>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</si>
  <si>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</si>
  <si>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</si>
  <si>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</si>
  <si>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</si>
  <si>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</si>
  <si>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</si>
  <si>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</si>
  <si>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</si>
  <si>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</si>
  <si>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</si>
  <si>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</si>
  <si>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</si>
  <si>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</si>
  <si>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</si>
  <si>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</si>
  <si>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</si>
  <si>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</si>
  <si>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</si>
  <si>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</si>
  <si>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</si>
  <si>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</si>
  <si>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</si>
  <si>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</si>
  <si>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</si>
  <si>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</si>
  <si>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</si>
  <si>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</si>
  <si>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</si>
  <si>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</si>
  <si>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</si>
  <si>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</si>
  <si>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</si>
  <si>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</si>
  <si>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</si>
  <si>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</si>
  <si>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</si>
  <si>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</si>
  <si>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</si>
  <si>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</si>
  <si>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</si>
  <si>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</si>
  <si>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</si>
  <si>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</si>
  <si>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</si>
  <si>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</si>
  <si>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</si>
  <si>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</si>
  <si>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</si>
  <si>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</si>
  <si>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</si>
  <si>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</si>
  <si>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</si>
  <si>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</si>
  <si>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</si>
  <si>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</si>
  <si>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</si>
  <si>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</si>
  <si>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</si>
  <si>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</si>
  <si>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</si>
  <si>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</si>
  <si>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</si>
  <si>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</si>
  <si>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</si>
  <si>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</si>
  <si>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</si>
  <si>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</si>
  <si>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</si>
  <si>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</si>
  <si>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</si>
  <si>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</si>
  <si>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</si>
  <si>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</si>
  <si>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</si>
  <si>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</si>
  <si>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</si>
  <si>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</si>
  <si>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</si>
  <si>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</si>
  <si>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</si>
  <si>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</si>
  <si>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</si>
  <si>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</si>
  <si>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</si>
  <si>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</si>
  <si>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</si>
  <si>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</si>
  <si>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</si>
  <si>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</si>
  <si>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</si>
  <si>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</si>
  <si>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</si>
  <si>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</si>
  <si>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</si>
  <si>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</si>
  <si>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</si>
  <si>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</si>
  <si>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</si>
  <si>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</si>
  <si>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</si>
  <si>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</si>
  <si>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</si>
  <si>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</si>
  <si>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</si>
  <si>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</si>
  <si>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</si>
  <si>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</si>
  <si>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</si>
  <si>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</si>
  <si>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</si>
  <si>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</si>
  <si>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</si>
  <si>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</si>
  <si>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</si>
  <si>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</si>
  <si>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</si>
  <si>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</si>
  <si>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</si>
  <si>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</si>
  <si>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</si>
  <si>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</si>
  <si>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</si>
  <si>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</si>
  <si>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</si>
  <si>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</si>
  <si>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</si>
  <si>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</si>
  <si>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</si>
  <si>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</si>
  <si>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</si>
  <si>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</si>
  <si>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</si>
  <si>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</si>
  <si>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</si>
  <si>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</si>
  <si>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</si>
  <si>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</si>
  <si>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</si>
  <si>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</si>
  <si>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</si>
  <si>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</si>
  <si>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</si>
  <si>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</si>
  <si>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</si>
  <si>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</si>
  <si>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</si>
  <si>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</si>
  <si>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</si>
  <si>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</si>
  <si>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</si>
  <si>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</si>
  <si>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</si>
  <si>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</si>
  <si>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</si>
  <si>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</si>
  <si>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</si>
  <si>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</si>
  <si>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</si>
  <si>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</si>
  <si>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</si>
  <si>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</si>
  <si>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</si>
  <si>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</si>
  <si>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</si>
  <si>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</si>
  <si>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</si>
  <si>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</si>
  <si>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</si>
  <si>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</si>
  <si>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</si>
  <si>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</si>
  <si>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</si>
  <si>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</si>
  <si>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</si>
  <si>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</si>
  <si>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</si>
  <si>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</si>
  <si>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</si>
  <si>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</si>
  <si>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</si>
  <si>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</si>
  <si>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</si>
  <si>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</si>
  <si>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</si>
  <si>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</si>
  <si>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</si>
  <si>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</si>
  <si>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</si>
  <si>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</si>
  <si>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</si>
  <si>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</si>
  <si>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</si>
  <si>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</si>
  <si>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</si>
  <si>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</si>
  <si>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</si>
  <si>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</si>
  <si>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</si>
  <si>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</si>
  <si>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</si>
  <si>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</si>
  <si>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</si>
  <si>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</si>
  <si>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</si>
  <si>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</si>
  <si>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</si>
  <si>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</si>
  <si>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</si>
  <si>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</si>
  <si>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</si>
  <si>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</si>
  <si>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</si>
  <si>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</si>
  <si>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</si>
  <si>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</si>
  <si>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</si>
  <si>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</si>
  <si>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</si>
  <si>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</si>
  <si>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</si>
  <si>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</si>
  <si>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</si>
  <si>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</si>
  <si>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</si>
  <si>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</si>
  <si>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</si>
  <si>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</si>
  <si>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</si>
  <si>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</si>
  <si>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</si>
  <si>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</si>
  <si>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</si>
  <si>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</si>
  <si>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</si>
  <si>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</si>
  <si>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</si>
  <si>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</si>
  <si>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</si>
  <si>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</si>
  <si>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</si>
  <si>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</si>
  <si>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</si>
  <si>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</si>
  <si>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</si>
  <si>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</si>
  <si>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</si>
  <si>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</si>
  <si>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</si>
  <si>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</si>
  <si>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</si>
  <si>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</si>
  <si>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</si>
  <si>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</si>
  <si>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</si>
  <si>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</si>
  <si>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</si>
  <si>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</si>
  <si>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</si>
  <si>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</si>
  <si>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</si>
  <si>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</si>
  <si>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</si>
  <si>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</si>
  <si>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</si>
  <si>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</si>
  <si>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</si>
  <si>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</si>
  <si>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</si>
  <si>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</si>
  <si>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</si>
  <si>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</si>
  <si>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</si>
  <si>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</si>
  <si>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</si>
  <si>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</si>
  <si>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</si>
  <si>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</si>
  <si>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</si>
  <si>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</si>
  <si>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</si>
  <si>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</si>
  <si>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</si>
  <si>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</si>
  <si>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</si>
  <si>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</si>
  <si>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</si>
  <si>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</si>
  <si>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</si>
  <si>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</si>
  <si>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</si>
  <si>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</si>
  <si>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</si>
  <si>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</si>
  <si>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</si>
  <si>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</si>
  <si>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</si>
  <si>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</si>
  <si>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</si>
  <si>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</si>
  <si>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</si>
  <si>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</si>
  <si>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</si>
  <si>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</si>
  <si>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</si>
  <si>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</si>
  <si>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</si>
  <si>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</si>
  <si>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</si>
  <si>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</si>
  <si>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</si>
  <si>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</si>
  <si>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</si>
  <si>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</si>
  <si>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</si>
  <si>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</si>
  <si>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</si>
  <si>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</si>
  <si>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</si>
  <si>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</si>
  <si>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</si>
  <si>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</si>
  <si>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</si>
  <si>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</si>
  <si>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</si>
  <si>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</si>
  <si>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</si>
  <si>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</si>
  <si>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</si>
  <si>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</si>
  <si>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</si>
  <si>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</si>
  <si>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</si>
  <si>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</si>
  <si>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</si>
  <si>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</si>
  <si>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</si>
  <si>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</si>
  <si>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</si>
  <si>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</si>
  <si>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</si>
  <si>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</si>
  <si>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</si>
  <si>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</si>
  <si>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</si>
  <si>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</si>
  <si>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</si>
  <si>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</si>
  <si>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</si>
  <si>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</si>
  <si>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</si>
  <si>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</si>
  <si>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</si>
  <si>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</si>
  <si>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</si>
  <si>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</si>
  <si>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</si>
  <si>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</si>
  <si>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</si>
  <si>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</si>
  <si>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</si>
  <si>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</si>
  <si>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</si>
  <si>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</si>
  <si>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</si>
  <si>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</si>
  <si>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</si>
  <si>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</si>
  <si>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</si>
  <si>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</si>
  <si>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</si>
  <si>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</si>
  <si>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</si>
  <si>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</si>
  <si>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</si>
  <si>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</si>
  <si>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</si>
  <si>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</si>
  <si>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</si>
  <si>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</si>
  <si>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</si>
  <si>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</si>
  <si>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</si>
  <si>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</si>
  <si>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</si>
  <si>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</si>
  <si>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</si>
  <si>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</si>
  <si>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</si>
  <si>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</si>
  <si>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</si>
  <si>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</si>
  <si>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</si>
  <si>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</si>
  <si>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</si>
  <si>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</si>
  <si>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</si>
  <si>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</si>
  <si>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</si>
  <si>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</si>
  <si>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</si>
  <si>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</si>
  <si>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</si>
  <si>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</si>
  <si>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</si>
  <si>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</si>
  <si>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</si>
  <si>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</si>
  <si>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</si>
  <si>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</si>
  <si>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</si>
  <si>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</si>
  <si>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</si>
  <si>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</si>
  <si>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</si>
  <si>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</si>
  <si>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</si>
  <si>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</si>
  <si>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</si>
  <si>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</si>
  <si>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</si>
  <si>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</si>
  <si>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</si>
  <si>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</si>
  <si>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</si>
  <si>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</si>
  <si>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</si>
  <si>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</si>
  <si>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</si>
  <si>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</si>
  <si>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</si>
  <si>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</si>
  <si>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</si>
  <si>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</si>
  <si>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</si>
  <si>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</si>
  <si>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</si>
  <si>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</si>
  <si>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</si>
  <si>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</si>
  <si>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</si>
  <si>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</si>
  <si>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</si>
  <si>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</si>
  <si>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</si>
  <si>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</si>
  <si>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</si>
  <si>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</si>
  <si>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</si>
  <si>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</si>
  <si>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</si>
  <si>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</si>
  <si>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</si>
  <si>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</si>
  <si>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</si>
  <si>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</si>
  <si>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</si>
  <si>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</si>
  <si>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</si>
  <si>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</si>
  <si>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</si>
  <si>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</si>
  <si>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</si>
  <si>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</si>
  <si>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</si>
  <si>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</si>
  <si>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</si>
  <si>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</si>
  <si>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</si>
  <si>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</si>
  <si>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</si>
  <si>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</si>
  <si>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</si>
  <si>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</si>
  <si>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</si>
  <si>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</si>
  <si>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</si>
  <si>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</si>
  <si>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</si>
  <si>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</si>
  <si>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</si>
  <si>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</si>
  <si>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</si>
  <si>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</si>
  <si>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</si>
  <si>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</si>
  <si>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</si>
  <si>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</si>
  <si>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</si>
  <si>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</si>
  <si>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</si>
  <si>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</si>
  <si>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</si>
  <si>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</si>
  <si>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</si>
  <si>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</si>
  <si>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</si>
  <si>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</si>
  <si>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</si>
  <si>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</si>
  <si>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</si>
  <si>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</si>
  <si>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</si>
  <si>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</si>
  <si>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</si>
  <si>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</si>
  <si>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</si>
  <si>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</si>
  <si>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</si>
  <si>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</si>
  <si>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</si>
  <si>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</si>
  <si>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</si>
  <si>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</si>
  <si>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</si>
  <si>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</si>
  <si>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</si>
  <si>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</si>
  <si>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</si>
  <si>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</si>
  <si>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</si>
  <si>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</si>
  <si>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</si>
  <si>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</si>
  <si>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</si>
  <si>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</si>
  <si>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</si>
  <si>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</si>
  <si>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</si>
  <si>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</si>
  <si>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</si>
  <si>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</si>
  <si>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</si>
  <si>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</si>
  <si>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</si>
  <si>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</si>
  <si>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</si>
  <si>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</si>
  <si>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</si>
  <si>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</si>
  <si>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</si>
  <si>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</si>
  <si>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</si>
  <si>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</si>
  <si>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</si>
  <si>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</si>
  <si>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</si>
  <si>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</si>
  <si>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</si>
  <si>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</si>
  <si>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</si>
  <si>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</si>
  <si>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</si>
  <si>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</si>
  <si>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</si>
  <si>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</si>
  <si>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</si>
  <si>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</si>
  <si>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</si>
  <si>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</si>
  <si>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</si>
  <si>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</si>
  <si>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</si>
  <si>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</si>
  <si>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</si>
  <si>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</si>
  <si>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</si>
  <si>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</si>
  <si>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</si>
  <si>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</si>
  <si>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</si>
  <si>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</si>
  <si>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</si>
  <si>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</si>
  <si>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</si>
  <si>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</si>
  <si>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</si>
  <si>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</si>
  <si>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</si>
  <si>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</si>
  <si>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</si>
  <si>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</si>
  <si>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</si>
  <si>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</si>
  <si>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</si>
  <si>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</si>
  <si>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</si>
  <si>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</si>
  <si>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</si>
  <si>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</si>
  <si>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</si>
  <si>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</si>
  <si>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</si>
  <si>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</si>
  <si>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</si>
  <si>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</si>
  <si>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</si>
  <si>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</si>
  <si>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</si>
  <si>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</si>
  <si>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</si>
  <si>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</si>
  <si>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</si>
  <si>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</si>
  <si>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</si>
  <si>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</si>
  <si>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</si>
  <si>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</si>
  <si>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</si>
  <si>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</si>
  <si>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</si>
  <si>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</si>
  <si>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</si>
  <si>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</si>
  <si>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</si>
  <si>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</si>
  <si>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</si>
  <si>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</si>
  <si>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</si>
  <si>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</si>
  <si>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</si>
  <si>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</si>
  <si>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</si>
  <si>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</si>
  <si>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</si>
  <si>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</si>
  <si>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</si>
  <si>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</si>
  <si>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</si>
  <si>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</si>
  <si>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</si>
  <si>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</si>
  <si>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</si>
  <si>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</si>
  <si>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</si>
  <si>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</si>
  <si>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</si>
  <si>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</si>
  <si>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</si>
  <si>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</si>
  <si>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</si>
  <si>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</si>
  <si>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</si>
  <si>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</si>
  <si>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</si>
  <si>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</si>
  <si>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</si>
  <si>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</si>
  <si>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</si>
  <si>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</si>
  <si>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</si>
  <si>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</si>
  <si>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</si>
  <si>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</si>
  <si>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</si>
  <si>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</si>
  <si>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</si>
  <si>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</si>
  <si>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</si>
  <si>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</si>
  <si>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</si>
  <si>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</si>
  <si>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</si>
  <si>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</si>
  <si>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</si>
  <si>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</si>
  <si>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</si>
  <si>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</si>
  <si>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</si>
  <si>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</si>
  <si>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</si>
  <si>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</si>
  <si>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</si>
  <si>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</si>
  <si>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</si>
  <si>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</si>
  <si>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</si>
  <si>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</si>
  <si>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</si>
  <si>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</si>
  <si>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</si>
  <si>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</si>
  <si>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</si>
  <si>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</si>
  <si>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</si>
  <si>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</si>
  <si>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</si>
  <si>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</si>
  <si>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</si>
  <si>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</si>
  <si>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</si>
  <si>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</si>
  <si>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</si>
  <si>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</si>
  <si>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</si>
  <si>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</si>
  <si>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</si>
  <si>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</si>
  <si>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</si>
  <si>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</si>
  <si>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</si>
  <si>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</si>
  <si>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</si>
  <si>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</si>
  <si>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</si>
  <si>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</si>
  <si>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</si>
  <si>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</si>
  <si>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</si>
  <si>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</si>
  <si>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</si>
  <si>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</si>
  <si>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</si>
  <si>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</si>
  <si>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</si>
  <si>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</si>
  <si>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</si>
  <si>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</si>
  <si>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</si>
  <si>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</si>
  <si>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</si>
  <si>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</si>
  <si>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</si>
  <si>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</si>
  <si>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</si>
  <si>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</si>
  <si>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</si>
  <si>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</si>
  <si>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</si>
  <si>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</si>
  <si>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</si>
  <si>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</si>
  <si>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</si>
  <si>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</si>
  <si>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</si>
  <si>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</si>
  <si>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</si>
  <si>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</si>
  <si>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</si>
  <si>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</si>
  <si>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</si>
  <si>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</si>
  <si>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</si>
  <si>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</si>
  <si>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</si>
  <si>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</si>
  <si>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</si>
  <si>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</si>
  <si>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</si>
  <si>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</si>
  <si>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</si>
  <si>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</si>
  <si>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</si>
  <si>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</si>
  <si>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</si>
  <si>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</si>
  <si>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</si>
  <si>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</si>
  <si>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</si>
  <si>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</si>
  <si>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</si>
  <si>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</si>
  <si>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</si>
  <si>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</si>
  <si>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</si>
  <si>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</si>
  <si>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</si>
  <si>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</si>
  <si>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</si>
  <si>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</si>
  <si>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</si>
  <si>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</si>
  <si>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</si>
  <si>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</si>
  <si>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</si>
  <si>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</si>
  <si>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</si>
  <si>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</si>
  <si>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</si>
  <si>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</si>
  <si>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</si>
  <si>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</si>
  <si>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</si>
  <si>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</si>
  <si>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</si>
  <si>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</si>
  <si>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</si>
  <si>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</si>
  <si>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</si>
  <si>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</si>
  <si>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</si>
  <si>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</si>
  <si>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</si>
  <si>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</si>
  <si>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</si>
  <si>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</si>
  <si>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</si>
  <si>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</si>
  <si>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</si>
  <si>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</si>
  <si>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</si>
  <si>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</si>
  <si>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</si>
  <si>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</si>
  <si>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</si>
  <si>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</si>
  <si>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</si>
  <si>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</si>
  <si>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</si>
  <si>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</si>
  <si>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</si>
  <si>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</si>
  <si>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</si>
  <si>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</si>
  <si>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</si>
  <si>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</si>
  <si>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</si>
  <si>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</si>
  <si>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</si>
  <si>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</si>
  <si>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</si>
  <si>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</si>
  <si>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</si>
  <si>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</si>
  <si>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</si>
  <si>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</si>
  <si>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</si>
  <si>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</si>
  <si>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</si>
  <si>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</si>
  <si>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</si>
  <si>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</si>
  <si>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</si>
  <si>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</si>
  <si>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</si>
  <si>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</si>
  <si>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</si>
  <si>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</si>
  <si>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</si>
  <si>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</si>
  <si>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</si>
  <si>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</si>
  <si>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</si>
  <si>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</si>
  <si>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</si>
  <si>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</si>
  <si>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</si>
  <si>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</si>
  <si>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</si>
  <si>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</si>
  <si>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</si>
  <si>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</si>
  <si>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</si>
  <si>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</si>
  <si>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</si>
  <si>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</si>
  <si>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</si>
  <si>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</si>
  <si>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</si>
  <si>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</si>
  <si>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</si>
  <si>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</si>
  <si>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</si>
  <si>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</si>
  <si>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</si>
  <si>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</si>
  <si>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</si>
  <si>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</si>
  <si>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</si>
  <si>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</si>
  <si>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</si>
  <si>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</si>
  <si>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</si>
  <si>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</si>
  <si>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</si>
  <si>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</si>
  <si>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</si>
  <si>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</si>
  <si>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</si>
  <si>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</si>
  <si>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</si>
  <si>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</si>
  <si>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</si>
  <si>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</si>
  <si>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</si>
  <si>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</si>
  <si>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</si>
  <si>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</si>
  <si>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</si>
  <si>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</si>
  <si>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</si>
  <si>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</si>
  <si>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</si>
  <si>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</si>
  <si>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</si>
  <si>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</si>
  <si>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</si>
  <si>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</si>
  <si>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</si>
  <si>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</si>
  <si>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</si>
  <si>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</si>
  <si>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</si>
  <si>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</si>
  <si>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</si>
  <si>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</si>
  <si>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</si>
  <si>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</si>
  <si>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</si>
  <si>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</si>
  <si>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</si>
  <si>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</si>
  <si>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</si>
  <si>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</si>
  <si>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</si>
  <si>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</si>
  <si>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</si>
  <si>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</si>
  <si>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</si>
  <si>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</si>
  <si>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</si>
  <si>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</si>
  <si>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</si>
  <si>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</si>
  <si>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</si>
  <si>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</si>
  <si>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</si>
  <si>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</si>
  <si>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</si>
  <si>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</si>
  <si>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</si>
  <si>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</si>
  <si>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</si>
  <si>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</si>
  <si>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</si>
  <si>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</si>
  <si>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</si>
  <si>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</si>
  <si>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</si>
  <si>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</si>
  <si>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</si>
  <si>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</si>
  <si>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</si>
  <si>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</si>
  <si>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</si>
  <si>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</si>
  <si>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</si>
  <si>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</si>
  <si>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</si>
  <si>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</si>
  <si>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</si>
  <si>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</si>
  <si>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</si>
  <si>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</si>
  <si>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</si>
  <si>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</si>
  <si>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</si>
  <si>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</si>
  <si>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</si>
  <si>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</si>
  <si>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</si>
  <si>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</si>
  <si>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</si>
  <si>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</si>
  <si>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</si>
  <si>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</si>
  <si>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</si>
  <si>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</si>
  <si>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</si>
  <si>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</si>
  <si>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</si>
  <si>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</si>
  <si>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</si>
  <si>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</si>
  <si>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</si>
  <si>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</si>
  <si>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</si>
  <si>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</si>
  <si>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</si>
  <si>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</si>
  <si>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Lake</t>
  </si>
  <si>
    <t>Buffalo Grove</t>
  </si>
  <si>
    <t>Megan Clarke</t>
  </si>
  <si>
    <t>224-513-6488</t>
  </si>
  <si>
    <t>224-513-6445</t>
  </si>
  <si>
    <t>Evoy, Kamschulte, Jacobs &amp; Co. LLP</t>
  </si>
  <si>
    <t>John D. Aceto, Jr., CPA</t>
  </si>
  <si>
    <t>2122 Yeoman Street</t>
  </si>
  <si>
    <t xml:space="preserve">Waukegan </t>
  </si>
  <si>
    <t>IL</t>
  </si>
  <si>
    <t>847-662-8300</t>
  </si>
  <si>
    <t>847-662-8305</t>
  </si>
  <si>
    <t>066-003289</t>
  </si>
  <si>
    <t>jaceto@ekjllp.com</t>
  </si>
  <si>
    <t>US DEPARTMENT OF EDUCATION</t>
  </si>
  <si>
    <t>Passed Through ISBE</t>
  </si>
  <si>
    <t>Special Education Cluster</t>
  </si>
  <si>
    <t>(M) IDEA, Preschool</t>
  </si>
  <si>
    <t>(M) IDEA, Flow-Through</t>
  </si>
  <si>
    <t>Total Special Education Cluster</t>
  </si>
  <si>
    <t>TOTAL US DEPARTMENT OF EDUCATION</t>
  </si>
  <si>
    <t>Value of Federal Awards Expended in the Form of Non-Cash Assistance During the Year</t>
  </si>
  <si>
    <t>Federal Insurance in Effect During the Year</t>
  </si>
  <si>
    <t>Federal Loan or Loan Guarantees, Including Interest Subsidies, Outstanding at Year End</t>
  </si>
  <si>
    <t>Passed Through to Subrecipient- Stevenson High School District 125</t>
  </si>
  <si>
    <t>Passed Through to Subrecipient- Kildeer Countryside CCSD 96</t>
  </si>
  <si>
    <t>Passed Through to Subrecipient- Lincolnshire Prairie View District 103</t>
  </si>
  <si>
    <t>Total Passed Through to Subrecipients</t>
  </si>
  <si>
    <t>84.173A</t>
  </si>
  <si>
    <t>84.027A</t>
  </si>
  <si>
    <t>N/A</t>
  </si>
  <si>
    <t>4600-2017</t>
  </si>
  <si>
    <t>4600-2018</t>
  </si>
  <si>
    <t>4620-2017</t>
  </si>
  <si>
    <t>4620-2018</t>
  </si>
  <si>
    <t>601 Deerfield Parkway</t>
  </si>
  <si>
    <t>Passed Through To Subrecipient- Fox Lake SD 114</t>
  </si>
  <si>
    <r>
      <t>The accompanying Schedule of Expenditures of Federal Awards includes the federal grant activity of Exceptinal Learners Collaborative and is presented on the Modified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</si>
  <si>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IDEA Flow Through/Stevenson High School District No. 125</t>
  </si>
  <si>
    <t>IDEA Flow Through/Kildeer Countryside CCSD 96</t>
  </si>
  <si>
    <t>IDEA Flow Through/Lincolnshire Prairie View District 103</t>
  </si>
  <si>
    <t>IDEA Flow Through/Fox Lake Elem School District 114</t>
  </si>
  <si>
    <t>IDEA Preschool Grant/Kildeer Countryside CCSD 96</t>
  </si>
  <si>
    <t>IDEA Preschool Grant/Lincolnshire Prairie View District 103</t>
  </si>
  <si>
    <t>IDEA Preschool Grant/Fox Lake Elem School District 114</t>
  </si>
  <si>
    <t>Unmodified</t>
  </si>
  <si>
    <t>IDEA Flow-Through</t>
  </si>
  <si>
    <t>IDEA Preschool</t>
  </si>
  <si>
    <t>NONE</t>
  </si>
  <si>
    <t>CLIC</t>
  </si>
  <si>
    <t>TOTAL FEDERAL FINANCIAL ASSISTANCE</t>
  </si>
  <si>
    <t>Ed-Support Services Pupil-Purchased Services</t>
  </si>
  <si>
    <t>10-2100-300</t>
  </si>
  <si>
    <t>Soliant Health</t>
  </si>
  <si>
    <t>O&amp;M-O&amp;M Plant Services-Purchased Services</t>
  </si>
  <si>
    <t>20-2540-300</t>
  </si>
  <si>
    <t>Buffalo Grove Park District</t>
  </si>
  <si>
    <t>Exceptional Learners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</si>
</sst>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2095500</xdr:colOff>
          <xdr:row>6</xdr:row>
          <xdr:rowOff>76200</xdr:rowOff>
        </xdr:from>
        <xdr:to>
          <xdr:col>1</xdr:col>
          <xdr:colOff>2971800</xdr:colOff>
          <xdr:row>9</xdr:row>
          <xdr:rowOff>104775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c r="C5" s="26" t="s">
        <v>966</v>
      </c>
      <c r="D5" s="84"/>
      <c r="E5" s="84"/>
      <c r="H5" s="38"/>
      <c r="I5" s="2043" t="s">
        <v>701</v>
      </c>
      <c r="J5" s="1988"/>
      <c r="K5" s="1988"/>
      <c r="L5" s="1988"/>
      <c r="M5" s="1988"/>
      <c r="N5" s="1988"/>
      <c r="O5" s="1988"/>
      <c r="P5" s="1988"/>
      <c r="Q5" s="1988"/>
      <c r="R5" s="1988"/>
      <c r="S5" s="1988"/>
    </row>
    <row r="6" spans="1:28" ht="14.1" customHeight="1" x14ac:dyDescent="0.2">
      <c r="B6" s="104" t="s">
        <v>2076</v>
      </c>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2076</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34049801060</v>
      </c>
      <c r="B13" s="2005"/>
      <c r="C13" s="2005"/>
      <c r="D13" s="2005"/>
      <c r="E13" s="2005"/>
      <c r="F13" s="2005"/>
      <c r="G13" s="2005"/>
      <c r="H13" s="2006"/>
      <c r="I13" s="31"/>
      <c r="J13" s="30"/>
      <c r="K13" s="28"/>
      <c r="L13" s="30"/>
      <c r="M13" s="30"/>
      <c r="N13" s="30"/>
      <c r="O13" s="30"/>
      <c r="P13" s="30"/>
      <c r="Q13" s="30"/>
      <c r="R13" s="30"/>
      <c r="S13" s="30"/>
      <c r="T13" s="2009" t="s">
        <v>2082</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2077</v>
      </c>
      <c r="B15" s="2007"/>
      <c r="C15" s="2007"/>
      <c r="D15" s="2007"/>
      <c r="E15" s="2007"/>
      <c r="F15" s="2007"/>
      <c r="G15" s="2007"/>
      <c r="H15" s="2008"/>
      <c r="T15" s="1970" t="s">
        <v>2083</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2134</v>
      </c>
      <c r="B17" s="2032"/>
      <c r="C17" s="2032"/>
      <c r="D17" s="2032"/>
      <c r="E17" s="2032"/>
      <c r="F17" s="2032"/>
      <c r="G17" s="2032"/>
      <c r="H17" s="2033"/>
      <c r="T17" s="2019" t="s">
        <v>2084</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2112</v>
      </c>
      <c r="B19" s="2003"/>
      <c r="C19" s="2003"/>
      <c r="D19" s="2003"/>
      <c r="E19" s="2003"/>
      <c r="F19" s="2003"/>
      <c r="G19" s="2003"/>
      <c r="H19" s="2001"/>
      <c r="I19" s="30"/>
      <c r="J19" s="99"/>
      <c r="K19" s="40"/>
      <c r="L19" s="38"/>
      <c r="M19" s="112" t="s">
        <v>333</v>
      </c>
      <c r="P19" s="27"/>
      <c r="Q19" s="27"/>
      <c r="R19" s="27"/>
      <c r="S19" s="31"/>
      <c r="T19" s="2002" t="s">
        <v>2085</v>
      </c>
      <c r="U19" s="2000"/>
      <c r="V19" s="2000"/>
      <c r="W19" s="2001"/>
      <c r="X19" s="2017" t="s">
        <v>2086</v>
      </c>
      <c r="Y19" s="2018"/>
      <c r="Z19" s="2015">
        <v>60087</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2078</v>
      </c>
      <c r="B21" s="2000"/>
      <c r="C21" s="2000"/>
      <c r="D21" s="2000"/>
      <c r="E21" s="2000"/>
      <c r="F21" s="2000"/>
      <c r="G21" s="2000"/>
      <c r="H21" s="2001"/>
      <c r="I21" s="2025" t="s">
        <v>699</v>
      </c>
      <c r="J21" s="1988"/>
      <c r="K21" s="1988"/>
      <c r="L21" s="1988"/>
      <c r="M21" s="1988"/>
      <c r="N21" s="1988"/>
      <c r="O21" s="1988"/>
      <c r="P21" s="1988"/>
      <c r="Q21" s="1988"/>
      <c r="R21" s="1988"/>
      <c r="S21" s="1989"/>
      <c r="T21" s="1967" t="s">
        <v>2087</v>
      </c>
      <c r="U21" s="1968"/>
      <c r="V21" s="1968"/>
      <c r="W21" s="1968"/>
      <c r="X21" s="1981" t="s">
        <v>2088</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c r="B23" s="2023"/>
      <c r="C23" s="2023"/>
      <c r="D23" s="2023"/>
      <c r="E23" s="2023"/>
      <c r="F23" s="2023"/>
      <c r="G23" s="2023"/>
      <c r="H23" s="2024"/>
      <c r="T23" s="1962" t="s">
        <v>2089</v>
      </c>
      <c r="U23" s="1963"/>
      <c r="V23" s="1963"/>
      <c r="W23" s="1963"/>
      <c r="X23" s="1978">
        <v>44530</v>
      </c>
      <c r="Y23" s="1979"/>
      <c r="Z23" s="1979"/>
      <c r="AA23" s="1980"/>
    </row>
    <row r="24" spans="1:27" ht="14.1" customHeight="1" x14ac:dyDescent="0.2">
      <c r="A24" s="88" t="s">
        <v>698</v>
      </c>
      <c r="B24" s="49"/>
      <c r="C24" s="49"/>
      <c r="D24" s="49"/>
      <c r="E24" s="49"/>
      <c r="F24" s="49"/>
      <c r="G24" s="49"/>
      <c r="H24" s="61"/>
      <c r="J24" s="2064" t="str">
        <f>IF(B5="x",IF(AUDITCHECK!D29="AFR form Incomplete.","",IF(AUDITCHECK!D29="Deficit reduction plan is required.","School District must complete a deficit reduction plan in the 2018-2019 Budget",)),"")</f>
        <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60089</v>
      </c>
      <c r="B25" s="2000"/>
      <c r="C25" s="2000"/>
      <c r="D25" s="2000"/>
      <c r="E25" s="2000"/>
      <c r="F25" s="2000"/>
      <c r="G25" s="2000"/>
      <c r="H25" s="2001"/>
      <c r="I25" s="113"/>
      <c r="J25" s="2066"/>
      <c r="K25" s="2066"/>
      <c r="L25" s="2066"/>
      <c r="M25" s="2066"/>
      <c r="N25" s="2066"/>
      <c r="O25" s="2066"/>
      <c r="P25" s="2066"/>
      <c r="Q25" s="2066"/>
      <c r="R25" s="2066"/>
      <c r="S25" s="2067"/>
      <c r="T25" s="1959" t="s">
        <v>2090</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48" t="s">
        <v>2076</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t="s">
        <v>2076</v>
      </c>
      <c r="C30" s="124" t="s">
        <v>1226</v>
      </c>
      <c r="D30" s="28"/>
      <c r="E30" s="28"/>
      <c r="F30" s="140"/>
      <c r="G30" s="114"/>
      <c r="H30" s="114"/>
      <c r="I30" s="54"/>
      <c r="J30" s="148" t="s">
        <v>2076</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2079</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2080</v>
      </c>
      <c r="B42" s="2049"/>
      <c r="C42" s="2050"/>
      <c r="D42" s="2063" t="s">
        <v>2081</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2066</v>
      </c>
      <c r="R47" s="41"/>
      <c r="S47" s="41"/>
      <c r="T47" s="41"/>
      <c r="U47" s="41"/>
      <c r="V47" s="41"/>
      <c r="W47" s="41"/>
      <c r="X47" s="41"/>
      <c r="Y47" s="41"/>
      <c r="Z47" s="41"/>
      <c r="AA47" s="41"/>
    </row>
    <row r="48" spans="1:27" x14ac:dyDescent="0.2">
      <c r="Q48" s="41" t="s">
        <v>2067</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workbookViewId="0"/>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1" t="s">
        <v>1904</v>
      </c>
      <c r="B2" s="1550" t="s">
        <v>2036</v>
      </c>
      <c r="C2" s="715" t="s">
        <v>1909</v>
      </c>
      <c r="D2" s="715" t="s">
        <v>1910</v>
      </c>
      <c r="E2" s="715" t="s">
        <v>1911</v>
      </c>
      <c r="F2" s="715" t="s">
        <v>1912</v>
      </c>
    </row>
    <row r="3" spans="1:6" ht="12" customHeight="1" x14ac:dyDescent="0.2">
      <c r="A3" s="2202"/>
      <c r="B3" s="1547"/>
      <c r="C3" s="1548"/>
      <c r="D3" s="1549" t="s">
        <v>274</v>
      </c>
      <c r="E3" s="1548"/>
      <c r="F3" s="1549" t="s">
        <v>275</v>
      </c>
    </row>
    <row r="4" spans="1:6" ht="13.7" customHeight="1" x14ac:dyDescent="0.2">
      <c r="A4" s="716" t="s">
        <v>1217</v>
      </c>
      <c r="B4" s="1771">
        <f>'Revenues 9-14'!C5</f>
        <v>0</v>
      </c>
      <c r="C4" s="1546"/>
      <c r="D4" s="1774">
        <f>B4-C4</f>
        <v>0</v>
      </c>
      <c r="E4" s="1546"/>
      <c r="F4" s="1774">
        <f>E4-C4</f>
        <v>0</v>
      </c>
    </row>
    <row r="5" spans="1:6" ht="13.7" customHeight="1" x14ac:dyDescent="0.2">
      <c r="A5" s="716" t="s">
        <v>925</v>
      </c>
      <c r="B5" s="1772">
        <f>'Revenues 9-14'!D5</f>
        <v>0</v>
      </c>
      <c r="C5" s="585"/>
      <c r="D5" s="1775">
        <f t="shared" ref="D5:D18" si="0">B5-C5</f>
        <v>0</v>
      </c>
      <c r="E5" s="585"/>
      <c r="F5" s="1775">
        <f>E5-C5</f>
        <v>0</v>
      </c>
    </row>
    <row r="6" spans="1:6" ht="13.7" customHeight="1" x14ac:dyDescent="0.2">
      <c r="A6" s="716" t="s">
        <v>431</v>
      </c>
      <c r="B6" s="1772">
        <f>'Revenues 9-14'!E5</f>
        <v>0</v>
      </c>
      <c r="C6" s="585"/>
      <c r="D6" s="1775">
        <f t="shared" si="0"/>
        <v>0</v>
      </c>
      <c r="E6" s="585"/>
      <c r="F6" s="1775">
        <f t="shared" ref="F6:F18" si="1">E6-C6</f>
        <v>0</v>
      </c>
    </row>
    <row r="7" spans="1:6" ht="13.7" customHeight="1" x14ac:dyDescent="0.2">
      <c r="A7" s="716" t="s">
        <v>157</v>
      </c>
      <c r="B7" s="1772">
        <f>'Revenues 9-14'!F5</f>
        <v>0</v>
      </c>
      <c r="C7" s="585"/>
      <c r="D7" s="1775">
        <f t="shared" si="0"/>
        <v>0</v>
      </c>
      <c r="E7" s="585"/>
      <c r="F7" s="1775">
        <f t="shared" si="1"/>
        <v>0</v>
      </c>
    </row>
    <row r="8" spans="1:6" ht="13.7" customHeight="1" x14ac:dyDescent="0.2">
      <c r="A8" s="716" t="s">
        <v>1241</v>
      </c>
      <c r="B8" s="1772">
        <f>'Revenues 9-14'!G5</f>
        <v>0</v>
      </c>
      <c r="C8" s="585"/>
      <c r="D8" s="1775">
        <f t="shared" si="0"/>
        <v>0</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0</v>
      </c>
      <c r="C10" s="585"/>
      <c r="D10" s="1775">
        <f t="shared" si="0"/>
        <v>0</v>
      </c>
      <c r="E10" s="585"/>
      <c r="F10" s="1775">
        <f t="shared" si="1"/>
        <v>0</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0</v>
      </c>
      <c r="C14" s="585"/>
      <c r="D14" s="1775">
        <f t="shared" si="0"/>
        <v>0</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0</v>
      </c>
      <c r="C19" s="1773">
        <f>SUM(C4:C18)</f>
        <v>0</v>
      </c>
      <c r="D19" s="1773">
        <f>SUM(D4:D18)</f>
        <v>0</v>
      </c>
      <c r="E19" s="1773">
        <f>SUM(E4:E18)</f>
        <v>0</v>
      </c>
      <c r="F19" s="1773">
        <f>SUM(F4:F18)</f>
        <v>0</v>
      </c>
    </row>
    <row r="20" spans="1:6" ht="13.5" thickTop="1" x14ac:dyDescent="0.2">
      <c r="B20" s="714"/>
      <c r="F20" s="717"/>
    </row>
    <row r="21" spans="1:6" x14ac:dyDescent="0.2">
      <c r="A21" s="718" t="s">
        <v>1914</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1904</v>
      </c>
      <c r="B2" s="2217"/>
      <c r="C2" s="1909" t="s">
        <v>2037</v>
      </c>
      <c r="D2" s="724" t="s">
        <v>2044</v>
      </c>
      <c r="E2" s="724" t="s">
        <v>2045</v>
      </c>
      <c r="F2" s="1909" t="s">
        <v>2038</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10" t="s">
        <v>604</v>
      </c>
      <c r="D30" s="1910" t="s">
        <v>1772</v>
      </c>
      <c r="E30" s="1910" t="s">
        <v>2039</v>
      </c>
      <c r="F30" s="1910" t="s">
        <v>2040</v>
      </c>
      <c r="G30" s="1910" t="s">
        <v>2043</v>
      </c>
      <c r="H30" s="1910" t="s">
        <v>2041</v>
      </c>
      <c r="I30" s="1910" t="s">
        <v>2042</v>
      </c>
      <c r="J30" s="1911"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1913</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workbookViewId="0">
      <selection activeCell="G39" sqref="G3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1918</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9" t="s">
        <v>1919</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0</v>
      </c>
      <c r="I12" s="1780">
        <f>SUM(I5:I11)</f>
        <v>0</v>
      </c>
      <c r="J12" s="1780">
        <f>SUM(J5:J11)</f>
        <v>0</v>
      </c>
      <c r="K12" s="1780">
        <f>SUM(K5:K11)</f>
        <v>0</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c r="I14" s="772"/>
      <c r="J14" s="774"/>
      <c r="K14" s="766"/>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1915</v>
      </c>
      <c r="B19" s="2267"/>
      <c r="C19" s="2267"/>
      <c r="D19" s="2267"/>
      <c r="E19" s="2268"/>
      <c r="F19" s="790" t="s">
        <v>990</v>
      </c>
      <c r="G19" s="783"/>
      <c r="H19" s="783"/>
      <c r="I19" s="783"/>
      <c r="J19" s="766"/>
      <c r="K19" s="796"/>
    </row>
    <row r="20" spans="1:11" x14ac:dyDescent="0.2">
      <c r="A20" s="2246" t="s">
        <v>1920</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1921</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0</v>
      </c>
      <c r="I23" s="1780">
        <f>SUM(I14:I16,I21,I22)</f>
        <v>0</v>
      </c>
      <c r="J23" s="1780">
        <f>SUM(J14:J16,J21,J22)</f>
        <v>0</v>
      </c>
      <c r="K23" s="1780">
        <f>SUM(K14:K16,K21,K22)</f>
        <v>0</v>
      </c>
    </row>
    <row r="24" spans="1:11" ht="14.25" thickTop="1" thickBot="1" x14ac:dyDescent="0.25">
      <c r="A24" s="2253" t="s">
        <v>2025</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2035</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t="s">
        <v>2076</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1922</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v>10838</v>
      </c>
    </row>
    <row r="37" spans="1:11" x14ac:dyDescent="0.2">
      <c r="A37" s="821" t="s">
        <v>952</v>
      </c>
      <c r="B37" s="819"/>
      <c r="C37" s="819"/>
      <c r="D37" s="819"/>
      <c r="E37" s="819"/>
      <c r="F37" s="820"/>
      <c r="G37" s="766"/>
    </row>
    <row r="38" spans="1:11" x14ac:dyDescent="0.2">
      <c r="A38" s="821" t="s">
        <v>1050</v>
      </c>
      <c r="B38" s="819"/>
      <c r="C38" s="819"/>
      <c r="D38" s="819"/>
      <c r="E38" s="819"/>
      <c r="F38" s="820"/>
      <c r="G38" s="766">
        <v>18336</v>
      </c>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1916</v>
      </c>
      <c r="B46" s="408" t="s">
        <v>1774</v>
      </c>
    </row>
    <row r="47" spans="1:11" s="824" customFormat="1" ht="12.75" customHeight="1" x14ac:dyDescent="0.2">
      <c r="A47" s="822"/>
      <c r="B47" s="823" t="s">
        <v>1775</v>
      </c>
      <c r="E47" s="823"/>
      <c r="K47" s="825"/>
    </row>
    <row r="48" spans="1:11" ht="12.75" customHeight="1" x14ac:dyDescent="0.2">
      <c r="A48" s="1554" t="s">
        <v>1917</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workbookViewId="0">
      <selection activeCell="I13" sqref="I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2034</v>
      </c>
      <c r="B1" s="2272"/>
      <c r="C1" s="2273"/>
      <c r="D1" s="827"/>
      <c r="E1" s="828"/>
      <c r="F1" s="828"/>
      <c r="G1" s="829"/>
      <c r="H1" s="830"/>
      <c r="I1" s="831"/>
      <c r="J1" s="2269"/>
      <c r="K1" s="2270"/>
      <c r="L1" s="2270"/>
    </row>
    <row r="2" spans="1:14" ht="69.75" customHeight="1" x14ac:dyDescent="0.2">
      <c r="A2" s="832" t="s">
        <v>1777</v>
      </c>
      <c r="B2" s="833" t="s">
        <v>396</v>
      </c>
      <c r="C2" s="834" t="s">
        <v>2029</v>
      </c>
      <c r="D2" s="834" t="s">
        <v>2026</v>
      </c>
      <c r="E2" s="834" t="s">
        <v>2027</v>
      </c>
      <c r="F2" s="834" t="s">
        <v>2028</v>
      </c>
      <c r="G2" s="834" t="s">
        <v>626</v>
      </c>
      <c r="H2" s="834" t="s">
        <v>2030</v>
      </c>
      <c r="I2" s="834" t="s">
        <v>2031</v>
      </c>
      <c r="J2" s="834" t="s">
        <v>2046</v>
      </c>
      <c r="K2" s="834" t="s">
        <v>2032</v>
      </c>
      <c r="L2" s="834" t="s">
        <v>2033</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82">
        <f>(C5+D5)-E5</f>
        <v>0</v>
      </c>
      <c r="G5" s="838"/>
      <c r="H5" s="843"/>
      <c r="I5" s="843"/>
      <c r="J5" s="843"/>
      <c r="K5" s="794"/>
      <c r="L5" s="1791">
        <f>F5-K5</f>
        <v>0</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c r="D8" s="845"/>
      <c r="E8" s="845"/>
      <c r="F8" s="1782">
        <f>(C8+D8)-E8</f>
        <v>0</v>
      </c>
      <c r="G8" s="844">
        <v>50</v>
      </c>
      <c r="H8" s="766"/>
      <c r="I8" s="766"/>
      <c r="J8" s="766"/>
      <c r="K8" s="1791">
        <f>(H8+I8)-J8</f>
        <v>0</v>
      </c>
      <c r="L8" s="1791">
        <f>F8-K8</f>
        <v>0</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c r="D10" s="847"/>
      <c r="E10" s="847"/>
      <c r="F10" s="1786">
        <f>(C10+D10)-E10</f>
        <v>0</v>
      </c>
      <c r="G10" s="844">
        <v>20</v>
      </c>
      <c r="H10" s="848"/>
      <c r="I10" s="848"/>
      <c r="J10" s="848"/>
      <c r="K10" s="1791">
        <f>(H10+I10)-J10</f>
        <v>0</v>
      </c>
      <c r="L10" s="1791">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199220</v>
      </c>
      <c r="D12" s="845">
        <v>68219</v>
      </c>
      <c r="E12" s="845"/>
      <c r="F12" s="1782">
        <f>(C12+D12)-E12</f>
        <v>267439</v>
      </c>
      <c r="G12" s="844">
        <v>10</v>
      </c>
      <c r="H12" s="766">
        <v>37091</v>
      </c>
      <c r="I12" s="766">
        <v>26744</v>
      </c>
      <c r="J12" s="766"/>
      <c r="K12" s="1791">
        <f>(H12+I12)-J12</f>
        <v>63835</v>
      </c>
      <c r="L12" s="1791">
        <f>F12-K12</f>
        <v>203604</v>
      </c>
    </row>
    <row r="13" spans="1:14" ht="14.25" thickTop="1" thickBot="1" x14ac:dyDescent="0.25">
      <c r="A13" s="849" t="s">
        <v>1184</v>
      </c>
      <c r="B13" s="841">
        <v>252</v>
      </c>
      <c r="C13" s="845"/>
      <c r="D13" s="845"/>
      <c r="E13" s="845"/>
      <c r="F13" s="1782">
        <f>(C13+D13)-E13</f>
        <v>0</v>
      </c>
      <c r="G13" s="844">
        <v>5</v>
      </c>
      <c r="H13" s="766"/>
      <c r="I13" s="766"/>
      <c r="J13" s="766"/>
      <c r="K13" s="1791">
        <f>(H13+I13)-J13</f>
        <v>0</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199220</v>
      </c>
      <c r="D16" s="1782">
        <f>SUM(D3,D5:D6,D8:D10,D12:D15)</f>
        <v>68219</v>
      </c>
      <c r="E16" s="1782">
        <f>SUM(E3,E5:E6,E8:E10,E12:E15)</f>
        <v>0</v>
      </c>
      <c r="F16" s="1782">
        <f>SUM(F3,F5:F6,F8:F10,F12:F15)</f>
        <v>267439</v>
      </c>
      <c r="G16" s="844"/>
      <c r="H16" s="1782">
        <f>SUM(H3,H6,H8:H10,H12:H14,)</f>
        <v>37091</v>
      </c>
      <c r="I16" s="1782">
        <f>SUM(I3,I6,I8:I10,I12:I14,)</f>
        <v>26744</v>
      </c>
      <c r="J16" s="1782">
        <f>SUM(J3,J6,J8:J10,J12:J14,)</f>
        <v>0</v>
      </c>
      <c r="K16" s="1782">
        <f>(H16+I16)-J16</f>
        <v>63835</v>
      </c>
      <c r="L16" s="1782">
        <f>F16-K16</f>
        <v>203604</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26744</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topLeftCell="A56" workbookViewId="0">
      <selection activeCell="A56" sqref="A56"/>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4043043</v>
      </c>
      <c r="G8" s="866"/>
    </row>
    <row r="9" spans="1:7" x14ac:dyDescent="0.2">
      <c r="A9" s="870" t="s">
        <v>480</v>
      </c>
      <c r="B9" s="871" t="s">
        <v>1988</v>
      </c>
      <c r="C9" s="872"/>
      <c r="D9" s="870" t="s">
        <v>522</v>
      </c>
      <c r="E9" s="869"/>
      <c r="F9" s="1935">
        <f>'Expenditures 15-22'!K151</f>
        <v>145566</v>
      </c>
      <c r="G9" s="873"/>
    </row>
    <row r="10" spans="1:7" x14ac:dyDescent="0.2">
      <c r="A10" s="870" t="s">
        <v>520</v>
      </c>
      <c r="B10" s="871" t="s">
        <v>1989</v>
      </c>
      <c r="C10" s="872"/>
      <c r="D10" s="870" t="s">
        <v>522</v>
      </c>
      <c r="E10" s="869"/>
      <c r="F10" s="1935">
        <f>'Expenditures 15-22'!K174</f>
        <v>0</v>
      </c>
      <c r="G10" s="873"/>
    </row>
    <row r="11" spans="1:7" x14ac:dyDescent="0.2">
      <c r="A11" s="870" t="s">
        <v>481</v>
      </c>
      <c r="B11" s="871" t="s">
        <v>1990</v>
      </c>
      <c r="C11" s="872"/>
      <c r="D11" s="870" t="s">
        <v>522</v>
      </c>
      <c r="E11" s="869"/>
      <c r="F11" s="1935">
        <f>'Expenditures 15-22'!K210</f>
        <v>0</v>
      </c>
      <c r="G11" s="873"/>
    </row>
    <row r="12" spans="1:7" x14ac:dyDescent="0.2">
      <c r="A12" s="870" t="s">
        <v>482</v>
      </c>
      <c r="B12" s="871" t="s">
        <v>1991</v>
      </c>
      <c r="C12" s="872"/>
      <c r="D12" s="870" t="s">
        <v>522</v>
      </c>
      <c r="E12" s="869"/>
      <c r="F12" s="1935">
        <f>'Expenditures 15-22'!K295</f>
        <v>164569</v>
      </c>
      <c r="G12" s="873"/>
    </row>
    <row r="13" spans="1:7" x14ac:dyDescent="0.2">
      <c r="A13" s="870" t="s">
        <v>108</v>
      </c>
      <c r="B13" s="871" t="s">
        <v>1992</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4353178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9">
        <f>'Expenditures 15-22'!K102</f>
        <v>1389918</v>
      </c>
      <c r="G53" s="866"/>
    </row>
    <row r="54" spans="1:7" x14ac:dyDescent="0.2">
      <c r="A54" s="870" t="s">
        <v>479</v>
      </c>
      <c r="B54" s="870" t="s">
        <v>1552</v>
      </c>
      <c r="C54" s="890" t="s">
        <v>1039</v>
      </c>
      <c r="D54" s="886" t="s">
        <v>1157</v>
      </c>
      <c r="E54" s="869"/>
      <c r="F54" s="1939">
        <f>'Expenditures 15-22'!G114</f>
        <v>68219</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9">
        <f>'Expenditures 15-22'!K139</f>
        <v>0</v>
      </c>
      <c r="G57" s="866"/>
    </row>
    <row r="58" spans="1:7" x14ac:dyDescent="0.2">
      <c r="A58" s="870" t="s">
        <v>480</v>
      </c>
      <c r="B58" s="870" t="s">
        <v>1994</v>
      </c>
      <c r="C58" s="887" t="s">
        <v>1039</v>
      </c>
      <c r="D58" s="886" t="s">
        <v>1157</v>
      </c>
      <c r="E58" s="869"/>
      <c r="F58" s="1941">
        <f>'Expenditures 15-22'!G151</f>
        <v>0</v>
      </c>
      <c r="G58" s="866"/>
    </row>
    <row r="59" spans="1:7" x14ac:dyDescent="0.2">
      <c r="A59" s="894" t="s">
        <v>480</v>
      </c>
      <c r="B59" s="857" t="s">
        <v>1995</v>
      </c>
      <c r="C59" s="895" t="s">
        <v>1039</v>
      </c>
      <c r="D59" s="857" t="s">
        <v>309</v>
      </c>
      <c r="F59" s="1942">
        <f>'Expenditures 15-22'!I151</f>
        <v>0</v>
      </c>
      <c r="G59" s="866"/>
    </row>
    <row r="60" spans="1:7" x14ac:dyDescent="0.2">
      <c r="A60" s="894" t="s">
        <v>520</v>
      </c>
      <c r="B60" s="857" t="s">
        <v>1996</v>
      </c>
      <c r="C60" s="895">
        <v>4000</v>
      </c>
      <c r="D60" s="857" t="s">
        <v>330</v>
      </c>
      <c r="F60" s="1940">
        <f>'Expenditures 15-22'!K160</f>
        <v>0</v>
      </c>
      <c r="G60" s="866"/>
    </row>
    <row r="61" spans="1:7" x14ac:dyDescent="0.2">
      <c r="A61" s="896" t="s">
        <v>520</v>
      </c>
      <c r="B61" s="896" t="s">
        <v>1997</v>
      </c>
      <c r="C61" s="897" t="str">
        <f>'Expenditures 15-22'!B170</f>
        <v>5300</v>
      </c>
      <c r="D61" s="898" t="s">
        <v>329</v>
      </c>
      <c r="E61" s="880"/>
      <c r="F61" s="1939">
        <f>'Expenditures 15-22'!K170</f>
        <v>0</v>
      </c>
      <c r="G61" s="866"/>
    </row>
    <row r="62" spans="1:7" x14ac:dyDescent="0.2">
      <c r="A62" s="870" t="s">
        <v>481</v>
      </c>
      <c r="B62" s="870" t="s">
        <v>1998</v>
      </c>
      <c r="C62" s="887">
        <f>'Expenditures 15-22'!B185</f>
        <v>3000</v>
      </c>
      <c r="D62" s="877" t="s">
        <v>469</v>
      </c>
      <c r="E62" s="869"/>
      <c r="F62" s="1939">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9">
        <f>'Expenditures 15-22'!K196</f>
        <v>0</v>
      </c>
      <c r="G63" s="866"/>
    </row>
    <row r="64" spans="1:7" x14ac:dyDescent="0.2">
      <c r="A64" s="896" t="s">
        <v>481</v>
      </c>
      <c r="B64" s="896" t="s">
        <v>2000</v>
      </c>
      <c r="C64" s="897" t="str">
        <f>'Expenditures 15-22'!B206</f>
        <v>5300</v>
      </c>
      <c r="D64" s="893" t="s">
        <v>329</v>
      </c>
      <c r="E64" s="869"/>
      <c r="F64" s="1939">
        <f>'Expenditures 15-22'!K206</f>
        <v>0</v>
      </c>
      <c r="G64" s="866"/>
    </row>
    <row r="65" spans="1:8" x14ac:dyDescent="0.2">
      <c r="A65" s="870" t="s">
        <v>481</v>
      </c>
      <c r="B65" s="870" t="s">
        <v>2001</v>
      </c>
      <c r="C65" s="887" t="s">
        <v>1039</v>
      </c>
      <c r="D65" s="886" t="s">
        <v>1157</v>
      </c>
      <c r="E65" s="869"/>
      <c r="F65" s="1939">
        <f>'Expenditures 15-22'!G210</f>
        <v>0</v>
      </c>
      <c r="G65" s="866"/>
    </row>
    <row r="66" spans="1:8" x14ac:dyDescent="0.2">
      <c r="A66" s="870" t="s">
        <v>481</v>
      </c>
      <c r="B66" s="870" t="s">
        <v>2002</v>
      </c>
      <c r="C66" s="887" t="s">
        <v>1039</v>
      </c>
      <c r="D66" s="886" t="s">
        <v>309</v>
      </c>
      <c r="E66" s="869"/>
      <c r="F66" s="1939">
        <f>'Expenditures 15-22'!I210</f>
        <v>0</v>
      </c>
      <c r="G66" s="866"/>
    </row>
    <row r="67" spans="1:8" x14ac:dyDescent="0.2">
      <c r="A67" s="870" t="s">
        <v>482</v>
      </c>
      <c r="B67" s="870" t="s">
        <v>2003</v>
      </c>
      <c r="C67" s="887" t="str">
        <f>'Expenditures 15-22'!B216</f>
        <v>1125</v>
      </c>
      <c r="D67" s="893" t="str">
        <f>'Expenditures 15-22'!A216</f>
        <v>Pre-K Programs</v>
      </c>
      <c r="E67" s="869"/>
      <c r="F67" s="1939">
        <f>'Expenditures 15-22'!K216</f>
        <v>0</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2005</v>
      </c>
      <c r="C70" s="887">
        <f>'Expenditures 15-22'!B221</f>
        <v>1300</v>
      </c>
      <c r="D70" s="888" t="str">
        <f>'Expenditures 15-22'!A221</f>
        <v>Adult/Continuing Education Programs</v>
      </c>
      <c r="E70" s="869"/>
      <c r="F70" s="1939">
        <f>'Expenditures 15-22'!K221</f>
        <v>0</v>
      </c>
      <c r="G70" s="866"/>
    </row>
    <row r="71" spans="1:8" x14ac:dyDescent="0.2">
      <c r="A71" s="870" t="s">
        <v>482</v>
      </c>
      <c r="B71" s="870" t="s">
        <v>2006</v>
      </c>
      <c r="C71" s="887">
        <f>'Expenditures 15-22'!B224</f>
        <v>1600</v>
      </c>
      <c r="D71" s="888" t="str">
        <f>'Expenditures 15-22'!A224</f>
        <v>Summer School Programs</v>
      </c>
      <c r="E71" s="869"/>
      <c r="F71" s="1939">
        <f>'Expenditures 15-22'!K224</f>
        <v>0</v>
      </c>
      <c r="G71" s="866"/>
    </row>
    <row r="72" spans="1:8" x14ac:dyDescent="0.2">
      <c r="A72" s="870" t="s">
        <v>482</v>
      </c>
      <c r="B72" s="870" t="s">
        <v>2007</v>
      </c>
      <c r="C72" s="887">
        <f>'Expenditures 15-22'!B280</f>
        <v>3000</v>
      </c>
      <c r="D72" s="877" t="s">
        <v>469</v>
      </c>
      <c r="E72" s="869"/>
      <c r="F72" s="1939">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2009</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1458137</v>
      </c>
      <c r="G76" s="866"/>
    </row>
    <row r="77" spans="1:8" s="894" customFormat="1" ht="12" customHeight="1" thickTop="1" thickBot="1" x14ac:dyDescent="0.25">
      <c r="A77" s="1801"/>
      <c r="B77" s="1798"/>
      <c r="C77" s="1794"/>
      <c r="D77" s="1799" t="s">
        <v>2011</v>
      </c>
      <c r="E77" s="1796"/>
      <c r="F77" s="1802">
        <f>(F14-F76)</f>
        <v>2895041</v>
      </c>
      <c r="G77" s="870"/>
    </row>
    <row r="78" spans="1:8" s="894" customFormat="1" ht="12" customHeight="1" thickTop="1" x14ac:dyDescent="0.2">
      <c r="A78" s="1803"/>
      <c r="B78" s="1798"/>
      <c r="C78" s="1794"/>
      <c r="D78" s="1799" t="s">
        <v>2058</v>
      </c>
      <c r="E78" s="1796"/>
      <c r="F78" s="899">
        <v>0</v>
      </c>
      <c r="G78" s="900"/>
      <c r="H78" s="870"/>
    </row>
    <row r="79" spans="1:8" s="894" customFormat="1" ht="12" customHeight="1" thickBot="1" x14ac:dyDescent="0.25">
      <c r="A79" s="1804"/>
      <c r="B79" s="1798"/>
      <c r="C79" s="1794"/>
      <c r="D79" s="1799" t="s">
        <v>2012</v>
      </c>
      <c r="E79" s="1796" t="s">
        <v>1015</v>
      </c>
      <c r="F79" s="1805" t="str">
        <f>IF(F78&gt;0,F77/F78," Complete Line 78")</f>
        <v xml:space="preserve"> Complete Line 78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0</v>
      </c>
      <c r="G94" s="913"/>
    </row>
    <row r="95" spans="1:7" x14ac:dyDescent="0.2">
      <c r="A95" s="909" t="s">
        <v>142</v>
      </c>
      <c r="B95" s="909" t="s">
        <v>177</v>
      </c>
      <c r="C95" s="911">
        <v>1700</v>
      </c>
      <c r="D95" s="919" t="str">
        <f>'Revenues 9-14'!A82</f>
        <v>Total District/School Activity Income</v>
      </c>
      <c r="E95" s="907"/>
      <c r="F95" s="1811">
        <f>SUM('Revenues 9-14'!C82,'Revenues 9-14'!D82)</f>
        <v>0</v>
      </c>
      <c r="G95" s="913"/>
    </row>
    <row r="96" spans="1:7" x14ac:dyDescent="0.2">
      <c r="A96" s="909" t="s">
        <v>479</v>
      </c>
      <c r="B96" s="909" t="s">
        <v>178</v>
      </c>
      <c r="C96" s="911">
        <f>'Revenues 9-14'!B84</f>
        <v>1811</v>
      </c>
      <c r="D96" s="912" t="str">
        <f>'Revenues 9-14'!A84</f>
        <v>Rentals - Regular Textbooks</v>
      </c>
      <c r="E96" s="907"/>
      <c r="F96" s="1811">
        <f>'Revenues 9-14'!C84</f>
        <v>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246733</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2055000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47768</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0</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0</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0</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0</v>
      </c>
      <c r="G129" s="931"/>
    </row>
    <row r="130" spans="1:7" x14ac:dyDescent="0.2">
      <c r="A130" s="928" t="s">
        <v>689</v>
      </c>
      <c r="B130" s="928" t="s">
        <v>804</v>
      </c>
      <c r="C130" s="933">
        <v>4300</v>
      </c>
      <c r="D130" s="934" t="str">
        <f>'Revenues 9-14'!A211</f>
        <v>Total Title I</v>
      </c>
      <c r="E130" s="907"/>
      <c r="F130" s="1811">
        <f>SUM('Revenues 9-14'!C211,'Revenues 9-14'!D211,'Revenues 9-14'!F211,'Revenues 9-14'!G211)</f>
        <v>0</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2010335</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2057</v>
      </c>
      <c r="C175" s="1946">
        <v>3100</v>
      </c>
      <c r="D175" s="1947" t="s">
        <v>2060</v>
      </c>
      <c r="E175" s="907"/>
      <c r="F175" s="1931"/>
      <c r="G175" s="928"/>
    </row>
    <row r="176" spans="1:7" x14ac:dyDescent="0.2">
      <c r="A176" s="1944" t="s">
        <v>685</v>
      </c>
      <c r="B176" s="1945" t="s">
        <v>2057</v>
      </c>
      <c r="C176" s="1946">
        <v>3300</v>
      </c>
      <c r="D176" s="1947" t="s">
        <v>2061</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4359836</v>
      </c>
    </row>
    <row r="179" spans="1:7" ht="12" customHeight="1" x14ac:dyDescent="0.2">
      <c r="A179" s="1792"/>
      <c r="B179" s="1806"/>
      <c r="C179" s="1807"/>
      <c r="D179" s="1808" t="s">
        <v>2014</v>
      </c>
      <c r="E179" s="1809"/>
      <c r="F179" s="1811">
        <f>'PCTC-OEPP 27-28'!F77-F178</f>
        <v>-1464795</v>
      </c>
    </row>
    <row r="180" spans="1:7" ht="12" customHeight="1" x14ac:dyDescent="0.2">
      <c r="A180" s="1792"/>
      <c r="B180" s="1806"/>
      <c r="C180" s="1807"/>
      <c r="D180" s="1808" t="s">
        <v>1923</v>
      </c>
      <c r="E180" s="1809"/>
      <c r="F180" s="1811">
        <f>'Cap Outlay Deprec 26'!I18</f>
        <v>26744</v>
      </c>
    </row>
    <row r="181" spans="1:7" ht="12" customHeight="1" x14ac:dyDescent="0.2">
      <c r="A181" s="1792"/>
      <c r="B181" s="1806"/>
      <c r="C181" s="1807"/>
      <c r="D181" s="1808" t="s">
        <v>2015</v>
      </c>
      <c r="E181" s="1809"/>
      <c r="F181" s="1811">
        <f>F179+F180</f>
        <v>-1438051</v>
      </c>
    </row>
    <row r="182" spans="1:7" ht="12" customHeight="1" x14ac:dyDescent="0.2">
      <c r="A182" s="1792"/>
      <c r="B182" s="1812"/>
      <c r="C182" s="1807"/>
      <c r="D182" s="1808" t="str">
        <f>D78</f>
        <v>9 Month ADA from District Average Daily Attendance/Prior General State Aid Inquiry 2017-2018</v>
      </c>
      <c r="E182" s="1809"/>
      <c r="F182" s="1813">
        <f>'PCTC-OEPP 27-28'!F78</f>
        <v>0</v>
      </c>
      <c r="G182" s="931"/>
    </row>
    <row r="183" spans="1:7" ht="12" customHeight="1" thickBot="1" x14ac:dyDescent="0.25">
      <c r="A183" s="1792"/>
      <c r="B183" s="1812"/>
      <c r="C183" s="1807"/>
      <c r="D183" s="1808" t="s">
        <v>2016</v>
      </c>
      <c r="E183" s="1809" t="s">
        <v>1626</v>
      </c>
      <c r="F183" s="1814" t="e">
        <f>F181/F182</f>
        <v>#DIV/0!</v>
      </c>
      <c r="G183" s="857">
        <v>6323</v>
      </c>
    </row>
    <row r="184" spans="1:7" ht="12" thickTop="1" x14ac:dyDescent="0.2">
      <c r="B184" s="931"/>
      <c r="C184" s="950"/>
      <c r="D184" s="931"/>
      <c r="E184" s="950"/>
      <c r="F184" s="931"/>
      <c r="G184" s="952">
        <v>6326</v>
      </c>
    </row>
    <row r="185" spans="1:7" ht="12.2" customHeight="1" x14ac:dyDescent="0.2">
      <c r="A185" s="931" t="s">
        <v>2059</v>
      </c>
      <c r="B185" s="931"/>
      <c r="C185" s="950"/>
      <c r="D185" s="931"/>
      <c r="E185" s="950"/>
      <c r="F185" s="931"/>
      <c r="G185" s="931"/>
    </row>
    <row r="186" spans="1:7" s="1948" customFormat="1" ht="12.2" customHeight="1" x14ac:dyDescent="0.2">
      <c r="A186" s="1948" t="s">
        <v>2064</v>
      </c>
      <c r="B186" s="1949"/>
      <c r="C186" s="1950"/>
      <c r="D186" s="1949"/>
      <c r="E186" s="1950"/>
      <c r="F186" s="1949"/>
      <c r="G186" s="1949"/>
    </row>
    <row r="187" spans="1:7" s="1948" customFormat="1" ht="12.2" customHeight="1" x14ac:dyDescent="0.2">
      <c r="A187" s="1951" t="s">
        <v>2065</v>
      </c>
      <c r="C187" s="1950"/>
      <c r="D187" s="1949"/>
      <c r="E187" s="1950"/>
      <c r="F187" s="1949"/>
      <c r="G187" s="1949"/>
    </row>
    <row r="188" spans="1:7" ht="12" customHeight="1" x14ac:dyDescent="0.2">
      <c r="C188" s="950"/>
      <c r="D188" s="931"/>
      <c r="E188" s="950"/>
      <c r="F188" s="931"/>
      <c r="G188" s="931"/>
    </row>
    <row r="189" spans="1:7" x14ac:dyDescent="0.2">
      <c r="A189" s="1952" t="s">
        <v>2063</v>
      </c>
      <c r="B189" s="1953" t="s">
        <v>2062</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workbookViewId="0">
      <selection activeCell="D19" sqref="D1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1939</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1924</v>
      </c>
      <c r="B4" s="2289"/>
      <c r="C4" s="2289"/>
      <c r="D4" s="2289"/>
      <c r="E4" s="2289"/>
      <c r="F4" s="2289"/>
      <c r="G4" s="2290"/>
    </row>
    <row r="5" spans="1:7" x14ac:dyDescent="0.25">
      <c r="A5" s="2291"/>
      <c r="B5" s="2292"/>
      <c r="C5" s="2292"/>
      <c r="D5" s="2292"/>
      <c r="E5" s="2292"/>
      <c r="F5" s="2292"/>
      <c r="G5" s="2293"/>
    </row>
    <row r="6" spans="1:7" ht="18.75" x14ac:dyDescent="0.25">
      <c r="A6" s="1556" t="s">
        <v>1925</v>
      </c>
      <c r="B6" s="1557"/>
      <c r="C6" s="1557"/>
      <c r="D6" s="1557"/>
      <c r="E6" s="1557"/>
      <c r="F6" s="1557"/>
      <c r="G6" s="1558"/>
    </row>
    <row r="7" spans="1:7" ht="30.75" customHeight="1" x14ac:dyDescent="0.25">
      <c r="A7" s="2294" t="s">
        <v>2074</v>
      </c>
      <c r="B7" s="2295"/>
      <c r="C7" s="2295"/>
      <c r="D7" s="2295"/>
      <c r="E7" s="2295"/>
      <c r="F7" s="2295"/>
      <c r="G7" s="2296"/>
    </row>
    <row r="8" spans="1:7" ht="15.75" customHeight="1" x14ac:dyDescent="0.25">
      <c r="A8" s="2297" t="s">
        <v>2023</v>
      </c>
      <c r="B8" s="2298"/>
      <c r="C8" s="2298"/>
      <c r="D8" s="2298"/>
      <c r="E8" s="2298"/>
      <c r="F8" s="2298"/>
      <c r="G8" s="2299"/>
    </row>
    <row r="9" spans="1:7" ht="35.25" customHeight="1" x14ac:dyDescent="0.25">
      <c r="A9" s="2294" t="s">
        <v>2022</v>
      </c>
      <c r="B9" s="2295"/>
      <c r="C9" s="2295"/>
      <c r="D9" s="2295"/>
      <c r="E9" s="2295"/>
      <c r="F9" s="2295"/>
      <c r="G9" s="2296"/>
    </row>
    <row r="10" spans="1:7" ht="15" customHeight="1" x14ac:dyDescent="0.25">
      <c r="A10" s="1559" t="s">
        <v>1926</v>
      </c>
      <c r="B10" s="1560"/>
      <c r="C10" s="1560"/>
      <c r="D10" s="1560"/>
      <c r="E10" s="1560"/>
      <c r="F10" s="1560"/>
      <c r="G10" s="1561"/>
    </row>
    <row r="11" spans="1:7" ht="17.25" customHeight="1" x14ac:dyDescent="0.25">
      <c r="A11" s="2294" t="s">
        <v>1940</v>
      </c>
      <c r="B11" s="2295"/>
      <c r="C11" s="2295"/>
      <c r="D11" s="2295"/>
      <c r="E11" s="2295"/>
      <c r="F11" s="2295"/>
      <c r="G11" s="2296"/>
    </row>
    <row r="12" spans="1:7" ht="15" customHeight="1" x14ac:dyDescent="0.25">
      <c r="A12" s="1559" t="s">
        <v>1931</v>
      </c>
      <c r="B12" s="1560"/>
      <c r="C12" s="1560"/>
      <c r="D12" s="1560"/>
      <c r="E12" s="1560"/>
      <c r="F12" s="1560"/>
      <c r="G12" s="1561"/>
    </row>
    <row r="13" spans="1:7" ht="32.25" customHeight="1" x14ac:dyDescent="0.25">
      <c r="A13" s="2285" t="s">
        <v>1932</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1933</v>
      </c>
      <c r="B15" s="1568" t="s">
        <v>1934</v>
      </c>
      <c r="C15" s="1568" t="s">
        <v>1935</v>
      </c>
      <c r="D15" s="1569" t="s">
        <v>1936</v>
      </c>
      <c r="E15" s="1569" t="s">
        <v>1927</v>
      </c>
      <c r="F15" s="1569" t="s">
        <v>1937</v>
      </c>
      <c r="G15" s="1569" t="s">
        <v>1938</v>
      </c>
    </row>
    <row r="16" spans="1:7" x14ac:dyDescent="0.25">
      <c r="A16" s="1670" t="s">
        <v>1942</v>
      </c>
      <c r="B16" s="1671" t="s">
        <v>1930</v>
      </c>
      <c r="C16" s="1672" t="s">
        <v>1928</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6" t="s">
        <v>2128</v>
      </c>
      <c r="B17" s="1957" t="s">
        <v>2129</v>
      </c>
      <c r="C17" s="1958" t="s">
        <v>2130</v>
      </c>
      <c r="D17" s="1867">
        <v>49407</v>
      </c>
      <c r="E17" s="1562">
        <f t="shared" ref="E17:E141" si="1">IF(D17&lt;=25000,D17,IF(D17&gt;25000,25000,0))</f>
        <v>25000</v>
      </c>
      <c r="F17" s="1815">
        <f t="shared" si="0"/>
        <v>25000</v>
      </c>
      <c r="G17" s="1816">
        <f>IF(F17=0,0,D17-F17)</f>
        <v>24407</v>
      </c>
      <c r="H17" s="1669"/>
    </row>
    <row r="18" spans="1:8" x14ac:dyDescent="0.25">
      <c r="A18" s="1956" t="s">
        <v>2131</v>
      </c>
      <c r="B18" s="1957" t="s">
        <v>2132</v>
      </c>
      <c r="C18" s="1958" t="s">
        <v>2133</v>
      </c>
      <c r="D18" s="1867">
        <v>95503</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70503</v>
      </c>
    </row>
    <row r="19" spans="1:8" x14ac:dyDescent="0.25">
      <c r="A19" s="1675"/>
      <c r="B19" s="1869"/>
      <c r="C19" s="1678"/>
      <c r="D19" s="1867"/>
      <c r="E19" s="1562">
        <f t="shared" si="2"/>
        <v>0</v>
      </c>
      <c r="F19" s="1815">
        <f t="shared" si="3"/>
        <v>0</v>
      </c>
      <c r="G19" s="1816">
        <f t="shared" si="4"/>
        <v>0</v>
      </c>
    </row>
    <row r="20" spans="1:8" x14ac:dyDescent="0.25">
      <c r="A20" s="1675"/>
      <c r="B20" s="1868"/>
      <c r="C20" s="1678"/>
      <c r="D20" s="1867"/>
      <c r="E20" s="1562">
        <f t="shared" si="2"/>
        <v>0</v>
      </c>
      <c r="F20" s="1815">
        <f t="shared" si="3"/>
        <v>0</v>
      </c>
      <c r="G20" s="1816">
        <f t="shared" si="4"/>
        <v>0</v>
      </c>
    </row>
    <row r="21" spans="1:8" x14ac:dyDescent="0.25">
      <c r="A21" s="1675"/>
      <c r="B21" s="1868"/>
      <c r="C21" s="1678"/>
      <c r="D21" s="1867"/>
      <c r="E21" s="1562">
        <f t="shared" si="2"/>
        <v>0</v>
      </c>
      <c r="F21" s="1815">
        <f t="shared" si="3"/>
        <v>0</v>
      </c>
      <c r="G21" s="1816">
        <f t="shared" si="4"/>
        <v>0</v>
      </c>
    </row>
    <row r="22" spans="1:8" x14ac:dyDescent="0.25">
      <c r="A22" s="1675"/>
      <c r="B22" s="1868"/>
      <c r="C22" s="1678"/>
      <c r="D22" s="1867"/>
      <c r="E22" s="1562">
        <f t="shared" si="2"/>
        <v>0</v>
      </c>
      <c r="F22" s="1815">
        <f t="shared" si="3"/>
        <v>0</v>
      </c>
      <c r="G22" s="1816">
        <f t="shared" si="4"/>
        <v>0</v>
      </c>
    </row>
    <row r="23" spans="1:8" x14ac:dyDescent="0.25">
      <c r="A23" s="1675"/>
      <c r="B23" s="1868"/>
      <c r="C23" s="1678"/>
      <c r="D23" s="1867"/>
      <c r="E23" s="1562">
        <f t="shared" si="2"/>
        <v>0</v>
      </c>
      <c r="F23" s="1815">
        <f t="shared" si="3"/>
        <v>0</v>
      </c>
      <c r="G23" s="1816">
        <f t="shared" si="4"/>
        <v>0</v>
      </c>
    </row>
    <row r="24" spans="1:8" x14ac:dyDescent="0.25">
      <c r="A24" s="1675"/>
      <c r="B24" s="1869"/>
      <c r="C24" s="1678"/>
      <c r="D24" s="1867"/>
      <c r="E24" s="1562">
        <f t="shared" si="2"/>
        <v>0</v>
      </c>
      <c r="F24" s="1815">
        <f t="shared" si="3"/>
        <v>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144910</v>
      </c>
      <c r="E141" s="1563">
        <f t="shared" si="1"/>
        <v>25000</v>
      </c>
      <c r="F141" s="1817">
        <f>SUM(F17:F140)</f>
        <v>50000</v>
      </c>
      <c r="G141" s="1818">
        <f>SUM(G17:G140)</f>
        <v>94910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2075</v>
      </c>
      <c r="B10" s="972"/>
      <c r="C10" s="977"/>
      <c r="D10" s="973"/>
      <c r="E10" s="974"/>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888289</v>
      </c>
      <c r="F19" s="1822"/>
      <c r="G19" s="1824">
        <f>'Expenditures 15-22'!K33-SUM('Expenditures 15-22'!G33,'Expenditures 15-22'!I33)+'Expenditures 15-22'!D229</f>
        <v>888289</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1706385</v>
      </c>
      <c r="F21" s="1825"/>
      <c r="G21" s="1828">
        <f>'Expenditures 15-22'!K42-SUM('Expenditures 15-22'!G42,'Expenditures 15-22'!I42)+'Expenditures 15-22'!K120-SUM('Expenditures 15-22'!G120,'Expenditures 15-22'!I120)+'Expenditures 15-22'!K180-SUM('Expenditures 15-22'!G180,'Expenditures 15-22'!I180)+'Expenditures 15-22'!D238</f>
        <v>1706385</v>
      </c>
      <c r="H21" s="988"/>
      <c r="I21" s="162"/>
    </row>
    <row r="22" spans="1:9" s="669" customFormat="1" ht="12" customHeight="1" x14ac:dyDescent="0.2">
      <c r="A22" s="995" t="s">
        <v>585</v>
      </c>
      <c r="B22" s="996"/>
      <c r="C22" s="994">
        <v>2200</v>
      </c>
      <c r="D22" s="1825"/>
      <c r="E22" s="1827">
        <f>'Expenditures 15-22'!K47-SUM('Expenditures 15-22'!G47,'Expenditures 15-22'!I47)+'Expenditures 15-22'!D243</f>
        <v>91371</v>
      </c>
      <c r="F22" s="1825"/>
      <c r="G22" s="1828">
        <f>'Expenditures 15-22'!K47-SUM('Expenditures 15-22'!G47,'Expenditures 15-22'!I47)+'Expenditures 15-22'!D243</f>
        <v>91371</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7581</v>
      </c>
      <c r="F23" s="1825"/>
      <c r="G23" s="1827">
        <f>'Expenditures 15-22'!K53-SUM('Expenditures 15-22'!G53,'Expenditures 15-22'!I53)+'Expenditures 15-22'!D257+'Expenditures 15-22'!K330-SUM('Expenditures 15-22'!G330,'Expenditures 15-22'!I330)</f>
        <v>7581</v>
      </c>
      <c r="H23" s="988"/>
      <c r="I23" s="162"/>
    </row>
    <row r="24" spans="1:9" s="669" customFormat="1" ht="12" customHeight="1" x14ac:dyDescent="0.2">
      <c r="A24" s="995" t="s">
        <v>587</v>
      </c>
      <c r="B24" s="996"/>
      <c r="C24" s="994">
        <v>2400</v>
      </c>
      <c r="D24" s="1825"/>
      <c r="E24" s="1827">
        <f>'Expenditures 15-22'!K57-SUM('Expenditures 15-22'!G57,'Expenditures 15-22'!I57)+'Expenditures 15-22'!D261</f>
        <v>0</v>
      </c>
      <c r="F24" s="1825"/>
      <c r="G24" s="1828">
        <f>'Expenditures 15-22'!K57-SUM('Expenditures 15-22'!G57,'Expenditures 15-22'!I57)+'Expenditures 15-22'!D261</f>
        <v>0</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45000</v>
      </c>
      <c r="E27" s="1827">
        <f>E8</f>
        <v>0</v>
      </c>
      <c r="F27" s="1827">
        <f>'Expenditures 15-22'!K60-SUM('Expenditures 15-22'!G60,'Expenditures 15-22'!I60)+'Expenditures 15-22'!D264-E8</f>
        <v>45000</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145566</v>
      </c>
      <c r="F28" s="1829">
        <f>'Expenditures 15-22'!K61-SUM('Expenditures 15-22'!G61,'Expenditures 15-22'!I61)+'Expenditures 15-22'!K124-SUM('Expenditures 15-22'!G124,'Expenditures 15-22'!I124)+'Expenditures 15-22'!D266-E9</f>
        <v>145566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0</v>
      </c>
      <c r="F29" s="1825"/>
      <c r="G29" s="1828">
        <f>'Expenditures 15-22'!K62-SUM('Expenditures 15-22'!G62,'Expenditures 15-22'!I62)+'Expenditures 15-22'!K125-SUM('Expenditures 15-22'!G125,'Expenditures 15-22'!I125)+'Expenditures 15-22'!K182-SUM('Expenditures 15-22'!G182,'Expenditures 15-22'!I182)+'Expenditures 15-22'!D267</f>
        <v>0</v>
      </c>
      <c r="H29" s="986"/>
    </row>
    <row r="30" spans="1:9" ht="12" customHeight="1" x14ac:dyDescent="0.2">
      <c r="A30" s="995" t="s">
        <v>102</v>
      </c>
      <c r="B30" s="998"/>
      <c r="C30" s="994">
        <v>2560</v>
      </c>
      <c r="D30" s="1825"/>
      <c r="E30" s="1827">
        <f>'Expenditures 15-22'!K63-SUM('Expenditures 15-22'!G63,'Expenditures 15-22'!I63)+'Expenditures 15-22'!D268-E10</f>
        <v>0</v>
      </c>
      <c r="F30" s="1825"/>
      <c r="G30" s="1827">
        <f>'Expenditures 15-22'!K63-SUM('Expenditures 15-22'!G63,'Expenditures 15-22'!I63)+'Expenditures 15-22'!D268-E10</f>
        <v>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10849</v>
      </c>
      <c r="F34" s="1825"/>
      <c r="G34" s="1827">
        <f>'Expenditures 15-22'!K68-SUM('Expenditures 15-22'!G68,'Expenditures 15-22'!I68)+'Expenditures 15-22'!D273</f>
        <v>10849</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0</v>
      </c>
      <c r="F39" s="1825"/>
      <c r="G39" s="182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1929</v>
      </c>
      <c r="B40" s="992"/>
      <c r="C40" s="994"/>
      <c r="D40" s="1825"/>
      <c r="E40" s="1829">
        <f>-'Contracts Paid in CY 29'!G141</f>
        <v>-94910</v>
      </c>
      <c r="F40" s="1825"/>
      <c r="G40" s="1829">
        <f>-'Contracts Paid in CY 29'!G141</f>
        <v>-94910</v>
      </c>
    </row>
    <row r="41" spans="1:7" ht="12" customHeight="1" x14ac:dyDescent="0.2">
      <c r="A41" s="999" t="s">
        <v>158</v>
      </c>
      <c r="B41" s="1000"/>
      <c r="C41" s="1001"/>
      <c r="D41" s="1829">
        <f>SUM(D19:D39)</f>
        <v>45000</v>
      </c>
      <c r="E41" s="1829">
        <f>SUM(E19:E40)</f>
        <v>2755131</v>
      </c>
      <c r="F41" s="1829">
        <f>SUM(F19:F39)</f>
        <v>190566</v>
      </c>
      <c r="G41" s="1829">
        <f>SUM(G19:G40)</f>
        <v>2609565</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45000</v>
      </c>
      <c r="F43" s="1830" t="s">
        <v>495</v>
      </c>
      <c r="G43" s="1831">
        <f>F41</f>
        <v>190566</v>
      </c>
    </row>
    <row r="44" spans="1:7" ht="12" customHeight="1" x14ac:dyDescent="0.2">
      <c r="A44" s="988"/>
      <c r="B44" s="162"/>
      <c r="C44" s="1002"/>
      <c r="D44" s="1830" t="s">
        <v>494</v>
      </c>
      <c r="E44" s="1831">
        <f>E41</f>
        <v>2755131</v>
      </c>
      <c r="F44" s="1830" t="s">
        <v>494</v>
      </c>
      <c r="G44" s="1831">
        <f>G41</f>
        <v>2609565</v>
      </c>
    </row>
    <row r="45" spans="1:7" ht="12" customHeight="1" x14ac:dyDescent="0.2">
      <c r="A45" s="988"/>
      <c r="B45" s="162"/>
      <c r="C45" s="162"/>
      <c r="D45" s="1832" t="s">
        <v>1063</v>
      </c>
      <c r="E45" s="1833">
        <f>(E43/E44)</f>
        <v>1.6333161653656395E-2</v>
      </c>
      <c r="F45" s="1832" t="s">
        <v>1063</v>
      </c>
      <c r="G45" s="1833">
        <f>(G43/G44)</f>
        <v>7.3025964097464521E-2</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workbookViewId="0">
      <selection sqref="A1:F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1" t="s">
        <v>1446</v>
      </c>
      <c r="B1" s="2311"/>
      <c r="C1" s="2311"/>
      <c r="D1" s="2311"/>
      <c r="E1" s="2311"/>
      <c r="F1" s="2311"/>
    </row>
    <row r="2" spans="1:10" x14ac:dyDescent="0.2">
      <c r="A2" s="1912" t="s">
        <v>2047</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12" t="s">
        <v>1627</v>
      </c>
      <c r="B5" s="2313"/>
      <c r="C5" s="2314"/>
      <c r="D5" s="2314"/>
      <c r="E5" s="2314"/>
      <c r="F5" s="2314"/>
    </row>
    <row r="6" spans="1:10" ht="12" customHeight="1" x14ac:dyDescent="0.25">
      <c r="A6" s="1875"/>
      <c r="B6" s="1876"/>
      <c r="C6" s="2315" t="str">
        <f>COVER!A17</f>
        <v>Exceptional Learners</v>
      </c>
      <c r="D6" s="2315"/>
      <c r="E6" s="2315"/>
      <c r="F6" s="1877"/>
    </row>
    <row r="7" spans="1:10" ht="11.25" customHeight="1" thickBot="1" x14ac:dyDescent="0.3">
      <c r="A7" s="1875"/>
      <c r="B7" s="1876"/>
      <c r="C7" s="2316">
        <f>COVER!A13</f>
        <v>34049801060</v>
      </c>
      <c r="D7" s="2316"/>
      <c r="E7" s="2316"/>
      <c r="F7" s="1877"/>
    </row>
    <row r="8" spans="1:10" ht="25.5" customHeight="1" thickBot="1" x14ac:dyDescent="0.25">
      <c r="A8" s="1918" t="s">
        <v>2024</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c r="D15" s="1890"/>
      <c r="E15" s="1893"/>
      <c r="F15" s="1892"/>
      <c r="H15" s="1903">
        <f t="shared" si="0"/>
        <v>0</v>
      </c>
      <c r="I15" s="1903">
        <f t="shared" si="1"/>
        <v>0</v>
      </c>
      <c r="J15" s="1903">
        <f t="shared" si="2"/>
        <v>0</v>
      </c>
    </row>
    <row r="16" spans="1:10" ht="12" customHeight="1" x14ac:dyDescent="0.2">
      <c r="A16" s="1888" t="s">
        <v>1455</v>
      </c>
      <c r="B16" s="1889"/>
      <c r="C16" s="1890"/>
      <c r="D16" s="1890"/>
      <c r="E16" s="1893"/>
      <c r="F16" s="1892"/>
      <c r="H16" s="1903">
        <f t="shared" si="0"/>
        <v>0</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2076</v>
      </c>
      <c r="D19" s="1890" t="s">
        <v>2076</v>
      </c>
      <c r="E19" s="1893"/>
      <c r="F19" s="1892" t="s">
        <v>2126</v>
      </c>
      <c r="H19" s="1903">
        <f t="shared" si="0"/>
        <v>5</v>
      </c>
      <c r="I19" s="1903">
        <f t="shared" si="1"/>
        <v>5</v>
      </c>
      <c r="J19" s="1903">
        <f t="shared" si="2"/>
        <v>0</v>
      </c>
    </row>
    <row r="20" spans="1:12" ht="12" customHeight="1" x14ac:dyDescent="0.2">
      <c r="A20" s="1888" t="s">
        <v>1609</v>
      </c>
      <c r="B20" s="1889"/>
      <c r="C20" s="1890"/>
      <c r="D20" s="1890"/>
      <c r="E20" s="1893"/>
      <c r="F20" s="1892"/>
      <c r="H20" s="1903">
        <f t="shared" si="0"/>
        <v>0</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c r="D26" s="1890"/>
      <c r="E26" s="1893"/>
      <c r="F26" s="1892"/>
      <c r="H26" s="1903">
        <f t="shared" si="0"/>
        <v>0</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c r="D28" s="1890"/>
      <c r="E28" s="1893"/>
      <c r="F28" s="1892"/>
      <c r="H28" s="1903">
        <f t="shared" si="0"/>
        <v>0</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5</v>
      </c>
      <c r="I34" s="1903">
        <f>SUM(I11:I32)</f>
        <v>5</v>
      </c>
      <c r="J34" s="1903">
        <f>SUM(J11:J32)</f>
        <v>0</v>
      </c>
      <c r="K34" s="1903">
        <f>SUM(H34:J34)</f>
        <v>10</v>
      </c>
    </row>
    <row r="35" spans="1:11" ht="12" customHeight="1" x14ac:dyDescent="0.2">
      <c r="A35" s="1896" t="s">
        <v>1459</v>
      </c>
      <c r="B35" s="1897"/>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8"/>
      <c r="B39" s="1898"/>
      <c r="C39" s="1898"/>
      <c r="D39" s="1898"/>
      <c r="E39" s="1898"/>
      <c r="F39" s="1898"/>
    </row>
    <row r="40" spans="1:11" s="1895" customFormat="1" ht="12" customHeight="1" x14ac:dyDescent="0.25">
      <c r="A40" s="1899" t="s">
        <v>1458</v>
      </c>
      <c r="B40" s="1900"/>
      <c r="C40" s="2325"/>
      <c r="D40" s="2325"/>
      <c r="E40" s="2325"/>
      <c r="F40" s="2326"/>
      <c r="H40" s="1904"/>
      <c r="I40" s="1904"/>
      <c r="J40" s="1904"/>
      <c r="K40" s="1904"/>
    </row>
    <row r="41" spans="1:11" s="1895" customFormat="1" ht="12" customHeight="1" x14ac:dyDescent="0.25">
      <c r="A41" s="2327"/>
      <c r="B41" s="2328"/>
      <c r="C41" s="2328"/>
      <c r="D41" s="2328"/>
      <c r="E41" s="2328"/>
      <c r="F41" s="2329"/>
      <c r="H41" s="1904"/>
      <c r="I41" s="1904"/>
      <c r="J41" s="1904"/>
      <c r="K41" s="1904"/>
    </row>
    <row r="42" spans="1:11" s="1895" customFormat="1" ht="12" customHeight="1" x14ac:dyDescent="0.25">
      <c r="A42" s="2327"/>
      <c r="B42" s="2328"/>
      <c r="C42" s="2328"/>
      <c r="D42" s="2328"/>
      <c r="E42" s="2328"/>
      <c r="F42" s="2329"/>
      <c r="H42" s="1904"/>
      <c r="I42" s="1904"/>
      <c r="J42" s="1904"/>
      <c r="K42" s="1904"/>
    </row>
    <row r="43" spans="1:11" s="1895" customFormat="1" ht="15" x14ac:dyDescent="0.25">
      <c r="A43" s="2319"/>
      <c r="B43" s="2320"/>
      <c r="C43" s="2320"/>
      <c r="D43" s="2320"/>
      <c r="E43" s="2320"/>
      <c r="F43" s="2321"/>
      <c r="H43" s="1904"/>
      <c r="I43" s="1904"/>
      <c r="J43" s="1904"/>
      <c r="K43" s="1904"/>
    </row>
    <row r="44" spans="1:11" s="1895" customFormat="1" ht="12" hidden="1" customHeight="1" x14ac:dyDescent="0.25">
      <c r="A44" s="2319"/>
      <c r="B44" s="2320"/>
      <c r="C44" s="2320"/>
      <c r="D44" s="2320"/>
      <c r="E44" s="2320"/>
      <c r="F44" s="2321"/>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workbookViewId="0"/>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35" t="str">
        <f>COVER!A17</f>
        <v>Exceptional Learners</v>
      </c>
      <c r="J6" s="2336"/>
      <c r="Q6" s="1686"/>
    </row>
    <row r="7" spans="1:17" x14ac:dyDescent="0.2">
      <c r="A7" s="2337" t="s">
        <v>924</v>
      </c>
      <c r="B7" s="2338"/>
      <c r="C7" s="2338"/>
      <c r="D7" s="2338"/>
      <c r="E7" s="2339"/>
      <c r="F7" s="1018"/>
      <c r="G7" s="1010"/>
      <c r="H7" s="1017" t="s">
        <v>390</v>
      </c>
      <c r="I7" s="2340">
        <f>COVER!A13</f>
        <v>34049801060</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0</v>
      </c>
      <c r="F12" s="1040"/>
      <c r="G12" s="1834">
        <f t="shared" ref="G12:G18" si="0">SUM(E12:F12)</f>
        <v>0</v>
      </c>
      <c r="H12" s="1041"/>
      <c r="I12" s="1040"/>
      <c r="J12" s="1834">
        <f t="shared" ref="J12:J18" si="1">SUM(H12:I12)</f>
        <v>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0</v>
      </c>
      <c r="F19" s="1836">
        <f t="shared" si="2"/>
        <v>0</v>
      </c>
      <c r="G19" s="1836">
        <f t="shared" si="2"/>
        <v>0</v>
      </c>
      <c r="H19" s="1836">
        <f t="shared" si="2"/>
        <v>0</v>
      </c>
      <c r="I19" s="1836">
        <f t="shared" si="2"/>
        <v>0</v>
      </c>
      <c r="J19" s="1836">
        <f t="shared" si="2"/>
        <v>0</v>
      </c>
    </row>
    <row r="20" spans="1:10" ht="13.5" thickTop="1" x14ac:dyDescent="0.2">
      <c r="A20" s="1036">
        <v>9</v>
      </c>
      <c r="B20" s="2347" t="s">
        <v>1703</v>
      </c>
      <c r="C20" s="2347"/>
      <c r="D20" s="2348"/>
      <c r="E20" s="1047"/>
      <c r="F20" s="1047"/>
      <c r="G20" s="1047"/>
      <c r="H20" s="1047"/>
      <c r="I20" s="1047"/>
      <c r="J20" s="1837" t="str">
        <f>IF(AND(G19&gt;0,J19&gt;0),(((J19-G19)/G19)),"Enter Budget Data")</f>
        <v>Enter Budget Data</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276</v>
      </c>
    </row>
    <row r="3" spans="1:1" x14ac:dyDescent="0.2">
      <c r="A3" s="329" t="s">
        <v>277</v>
      </c>
    </row>
    <row r="5" spans="1:1" x14ac:dyDescent="0.2">
      <c r="A5" s="1069">
        <v>1</v>
      </c>
    </row>
    <row r="6" spans="1:1" x14ac:dyDescent="0.2">
      <c r="A6" s="1069">
        <v>2</v>
      </c>
    </row>
    <row r="7" spans="1:1" x14ac:dyDescent="0.2">
      <c r="A7" s="1069">
        <v>3</v>
      </c>
    </row>
    <row r="8" spans="1:1" x14ac:dyDescent="0.2">
      <c r="A8" s="1069">
        <v>4</v>
      </c>
    </row>
    <row r="9" spans="1:1" x14ac:dyDescent="0.2">
      <c r="A9" s="1070"/>
    </row>
    <row r="10" spans="1:1" x14ac:dyDescent="0.2">
      <c r="A10" s="1070"/>
    </row>
    <row r="11" spans="1:1" x14ac:dyDescent="0.2">
      <c r="A11" s="1070"/>
    </row>
    <row r="12" spans="1:1" x14ac:dyDescent="0.2">
      <c r="A12" s="1070"/>
    </row>
    <row r="13" spans="1:1" x14ac:dyDescent="0.2">
      <c r="A13" s="1070"/>
    </row>
    <row r="14" spans="1:1" x14ac:dyDescent="0.2">
      <c r="A14" s="1070"/>
    </row>
    <row r="15" spans="1:1" x14ac:dyDescent="0.2">
      <c r="A15" s="1070"/>
    </row>
    <row r="16" spans="1:1"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Exceptional Learners</v>
      </c>
    </row>
    <row r="65" spans="2:2" x14ac:dyDescent="0.2">
      <c r="B65" s="1071">
        <f>COVER!A13</f>
        <v>34049801060</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1873</v>
      </c>
    </row>
    <row r="52" spans="1:3" x14ac:dyDescent="0.2">
      <c r="A52" s="190"/>
      <c r="B52" s="188" t="s">
        <v>1893</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1874</v>
      </c>
    </row>
    <row r="57" spans="1:3" x14ac:dyDescent="0.2">
      <c r="A57" s="193"/>
      <c r="B57" s="190" t="s">
        <v>1876</v>
      </c>
    </row>
    <row r="58" spans="1:3" x14ac:dyDescent="0.2">
      <c r="A58" s="194"/>
      <c r="B58" s="190" t="s">
        <v>1877</v>
      </c>
    </row>
    <row r="59" spans="1:3" x14ac:dyDescent="0.2">
      <c r="A59" s="195"/>
      <c r="B59" s="1507" t="s">
        <v>1878</v>
      </c>
    </row>
    <row r="60" spans="1:3" x14ac:dyDescent="0.2">
      <c r="A60" s="196"/>
      <c r="B60" s="1507" t="s">
        <v>1879</v>
      </c>
    </row>
    <row r="61" spans="1:3" ht="6" customHeight="1" x14ac:dyDescent="0.2">
      <c r="A61" s="197"/>
      <c r="B61" s="189"/>
    </row>
    <row r="62" spans="1:3" x14ac:dyDescent="0.2">
      <c r="A62" s="169" t="s">
        <v>1714</v>
      </c>
      <c r="B62" s="198" t="s">
        <v>1875</v>
      </c>
    </row>
    <row r="63" spans="1:3" x14ac:dyDescent="0.2">
      <c r="A63" s="188"/>
      <c r="B63" s="169" t="s">
        <v>1890</v>
      </c>
    </row>
    <row r="64" spans="1:3" x14ac:dyDescent="0.2">
      <c r="A64" s="195"/>
      <c r="B64" s="1509" t="s">
        <v>1880</v>
      </c>
    </row>
    <row r="65" spans="1:9" x14ac:dyDescent="0.2">
      <c r="A65" s="188"/>
      <c r="B65" s="169" t="s">
        <v>1891</v>
      </c>
    </row>
    <row r="66" spans="1:9" x14ac:dyDescent="0.2">
      <c r="A66" s="190"/>
      <c r="B66" s="190" t="s">
        <v>1881</v>
      </c>
    </row>
    <row r="67" spans="1:9" ht="12" customHeight="1" x14ac:dyDescent="0.2">
      <c r="A67" s="188"/>
      <c r="B67" s="169" t="s">
        <v>1892</v>
      </c>
    </row>
    <row r="68" spans="1:9" x14ac:dyDescent="0.2">
      <c r="A68" s="189"/>
      <c r="B68" s="190" t="s">
        <v>1882</v>
      </c>
    </row>
    <row r="69" spans="1:9" x14ac:dyDescent="0.2">
      <c r="A69" s="190"/>
      <c r="B69" s="188" t="s">
        <v>1883</v>
      </c>
    </row>
    <row r="70" spans="1:9" ht="13.5" customHeight="1" x14ac:dyDescent="0.2">
      <c r="A70" s="190"/>
      <c r="B70" s="188" t="s">
        <v>1884</v>
      </c>
    </row>
    <row r="71" spans="1:9" ht="12" customHeight="1" x14ac:dyDescent="0.2">
      <c r="A71" s="192"/>
      <c r="B71" s="1508" t="s">
        <v>1717</v>
      </c>
    </row>
    <row r="72" spans="1:9" ht="9" customHeight="1" x14ac:dyDescent="0.2">
      <c r="A72" s="192"/>
      <c r="B72" s="199"/>
    </row>
    <row r="73" spans="1:9" x14ac:dyDescent="0.2">
      <c r="A73" s="189" t="s">
        <v>1718</v>
      </c>
      <c r="B73" s="169" t="s">
        <v>1886</v>
      </c>
    </row>
    <row r="74" spans="1:9" x14ac:dyDescent="0.2">
      <c r="A74" s="189"/>
      <c r="B74" s="169" t="s">
        <v>1885</v>
      </c>
    </row>
    <row r="75" spans="1:9" ht="8.25" customHeight="1" x14ac:dyDescent="0.2">
      <c r="A75" s="189"/>
      <c r="B75" s="189"/>
    </row>
    <row r="76" spans="1:9" ht="12.2" customHeight="1" x14ac:dyDescent="0.2">
      <c r="A76" s="189" t="s">
        <v>1719</v>
      </c>
      <c r="B76" s="198" t="s">
        <v>1887</v>
      </c>
    </row>
    <row r="77" spans="1:9" ht="12.2" customHeight="1" x14ac:dyDescent="0.2">
      <c r="A77" s="190"/>
      <c r="B77" s="169" t="s">
        <v>1720</v>
      </c>
      <c r="C77" s="179"/>
      <c r="D77" s="180"/>
      <c r="E77" s="181"/>
      <c r="F77" s="181"/>
      <c r="G77" s="181"/>
      <c r="H77" s="181"/>
      <c r="I77" s="181"/>
    </row>
    <row r="78" spans="1:9" ht="11.25" customHeight="1" x14ac:dyDescent="0.2">
      <c r="A78" s="190"/>
      <c r="B78" s="190" t="s">
        <v>1889</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1888</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ackager Shell Object" dvAspect="DVASPECT_ICON" shapeId="35841" r:id="rId4">
          <objectPr defaultSize="0" r:id="rId5">
            <anchor moveWithCells="1">
              <from>
                <xdr:col>1</xdr:col>
                <xdr:colOff>2095500</xdr:colOff>
                <xdr:row>6</xdr:row>
                <xdr:rowOff>76200</xdr:rowOff>
              </from>
              <to>
                <xdr:col>1</xdr:col>
                <xdr:colOff>2971800</xdr:colOff>
                <xdr:row>9</xdr:row>
                <xdr:rowOff>104775</xdr:rowOff>
              </to>
            </anchor>
          </objectPr>
        </oleObject>
      </mc:Choice>
      <mc:Fallback>
        <oleObject progId="Packager Shell Objec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topLeftCell="A4" workbookViewId="0">
      <selection activeCell="B11" sqref="B1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2055</v>
      </c>
      <c r="B4" s="2375"/>
      <c r="C4" s="2375"/>
      <c r="D4" s="2375"/>
      <c r="E4" s="2375"/>
      <c r="F4" s="2376"/>
      <c r="G4" s="1075"/>
      <c r="H4" s="1075"/>
    </row>
    <row r="5" spans="1:8" ht="14.25" customHeight="1" x14ac:dyDescent="0.2">
      <c r="A5" s="2377" t="s">
        <v>2056</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4099565</v>
      </c>
      <c r="C8" s="1838">
        <f>'Acct Summary 7-8'!D8</f>
        <v>200000</v>
      </c>
      <c r="D8" s="1838">
        <f>'Acct Summary 7-8'!F8</f>
        <v>0</v>
      </c>
      <c r="E8" s="1838">
        <f>'Acct Summary 7-8'!I8</f>
        <v>0</v>
      </c>
      <c r="F8" s="1838">
        <f>SUM(B8:E8)</f>
        <v>4299565</v>
      </c>
    </row>
    <row r="9" spans="1:8" s="1080" customFormat="1" ht="14.25" customHeight="1" thickBot="1" x14ac:dyDescent="0.25">
      <c r="A9" s="1079" t="s">
        <v>1436</v>
      </c>
      <c r="B9" s="1839">
        <f>'Acct Summary 7-8'!C17</f>
        <v>4043043</v>
      </c>
      <c r="C9" s="1839">
        <f>'Acct Summary 7-8'!D17</f>
        <v>145566</v>
      </c>
      <c r="D9" s="1839">
        <f>'Acct Summary 7-8'!F17</f>
        <v>0</v>
      </c>
      <c r="E9" s="1838"/>
      <c r="F9" s="1838">
        <f>SUM(B9:E9)</f>
        <v>4188609</v>
      </c>
    </row>
    <row r="10" spans="1:8" s="1080" customFormat="1" ht="14.25" thickTop="1" thickBot="1" x14ac:dyDescent="0.25">
      <c r="A10" s="1081" t="s">
        <v>1437</v>
      </c>
      <c r="B10" s="1840">
        <f>(B8-B9)</f>
        <v>56522</v>
      </c>
      <c r="C10" s="1840">
        <f>(C8-C9)</f>
        <v>54434</v>
      </c>
      <c r="D10" s="1840">
        <f>(D8-D9)</f>
        <v>0</v>
      </c>
      <c r="E10" s="1839">
        <f>(E8-E9)</f>
        <v>0</v>
      </c>
      <c r="F10" s="1841">
        <f>SUM(F8-F9)</f>
        <v>110956</v>
      </c>
    </row>
    <row r="11" spans="1:8" s="1080" customFormat="1" ht="14.25" thickTop="1" thickBot="1" x14ac:dyDescent="0.25">
      <c r="A11" s="1082" t="s">
        <v>1785</v>
      </c>
      <c r="B11" s="1842">
        <f>'Acct Summary 7-8'!C81</f>
        <v>830365</v>
      </c>
      <c r="C11" s="1842">
        <f>'Acct Summary 7-8'!D81</f>
        <v>149588</v>
      </c>
      <c r="D11" s="1842">
        <f>'Acct Summary 7-8'!F81</f>
        <v>0</v>
      </c>
      <c r="E11" s="1842">
        <f>'Acct Summary 7-8'!I81</f>
        <v>0</v>
      </c>
      <c r="F11" s="1843">
        <f>SUM(B11:E11)</f>
        <v>979953</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2048</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2049</v>
      </c>
      <c r="D66" s="1126"/>
    </row>
    <row r="67" spans="1:4" x14ac:dyDescent="0.2">
      <c r="A67" s="1120"/>
      <c r="B67" s="1141"/>
      <c r="C67" s="1148" t="s">
        <v>1079</v>
      </c>
      <c r="D67" s="1126"/>
    </row>
    <row r="68" spans="1:4" x14ac:dyDescent="0.2">
      <c r="A68" s="1101"/>
      <c r="B68" s="1111"/>
      <c r="C68" s="1103" t="s">
        <v>2050</v>
      </c>
      <c r="D68" s="1125" t="str">
        <f>IF('Short-Term Long-Term Debt 24'!F49=SUM(,'Acct Summary 7-8'!C33:K33),"OK","ERROR!")</f>
        <v>OK</v>
      </c>
    </row>
    <row r="69" spans="1:4" x14ac:dyDescent="0.2">
      <c r="A69" s="1101"/>
      <c r="B69" s="1111"/>
      <c r="C69" s="1103" t="s">
        <v>2051</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2052</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2053</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2054</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workbookViewId="0"/>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34049801060</v>
      </c>
    </row>
    <row r="3" spans="1:2" x14ac:dyDescent="0.2">
      <c r="A3" t="s">
        <v>1013</v>
      </c>
      <c r="B3" s="138" t="str">
        <f>COVER!A15</f>
        <v>Lake</v>
      </c>
    </row>
    <row r="4" spans="1:2" x14ac:dyDescent="0.2">
      <c r="A4" t="s">
        <v>1064</v>
      </c>
      <c r="B4" s="138" t="str">
        <f>COVER!A17</f>
        <v>Exceptional Learners</v>
      </c>
    </row>
    <row r="5" spans="1:2" x14ac:dyDescent="0.2">
      <c r="A5" t="s">
        <v>728</v>
      </c>
      <c r="B5" s="138" t="str">
        <f>COVER!A38</f>
        <v>Megan Clarke</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f>COVER!B5</f>
        <v>0</v>
      </c>
    </row>
    <row r="11" spans="1:2" x14ac:dyDescent="0.2">
      <c r="A11" t="s">
        <v>1034</v>
      </c>
      <c r="B11" s="138" t="str">
        <f>COVER!B6</f>
        <v>X</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066-003289</v>
      </c>
    </row>
    <row r="16" spans="1:2" x14ac:dyDescent="0.2">
      <c r="A16" t="s">
        <v>442</v>
      </c>
      <c r="B16" s="138" t="str">
        <f>COVER!T13</f>
        <v>Evoy, Kamschulte, Jacobs &amp; Co. LLP</v>
      </c>
    </row>
    <row r="17" spans="1:2" x14ac:dyDescent="0.2">
      <c r="A17" t="s">
        <v>939</v>
      </c>
      <c r="B17" s="138" t="str">
        <f>COVER!T15</f>
        <v>John D. Aceto, Jr., CPA</v>
      </c>
    </row>
    <row r="18" spans="1:2" x14ac:dyDescent="0.2">
      <c r="A18" t="s">
        <v>1212</v>
      </c>
      <c r="B18" s="138" t="str">
        <f>COVER!T17</f>
        <v>2122 Yeoman Street</v>
      </c>
    </row>
    <row r="19" spans="1:2" x14ac:dyDescent="0.2">
      <c r="A19" t="s">
        <v>941</v>
      </c>
      <c r="B19" s="138" t="str">
        <f>COVER!T25</f>
        <v>jaceto@ekjllp.com</v>
      </c>
    </row>
    <row r="20" spans="1:2" x14ac:dyDescent="0.2">
      <c r="A20" t="s">
        <v>942</v>
      </c>
      <c r="B20" s="138" t="str">
        <f>COVER!T19</f>
        <v xml:space="preserve">Waukegan </v>
      </c>
    </row>
    <row r="21" spans="1:2" x14ac:dyDescent="0.2">
      <c r="A21" t="s">
        <v>500</v>
      </c>
      <c r="B21" s="138" t="str">
        <f>COVER!X19</f>
        <v>IL</v>
      </c>
    </row>
    <row r="22" spans="1:2" x14ac:dyDescent="0.2">
      <c r="A22" t="s">
        <v>943</v>
      </c>
      <c r="B22" s="138">
        <f>COVER!Z19</f>
        <v>60087</v>
      </c>
    </row>
    <row r="23" spans="1:2" x14ac:dyDescent="0.2">
      <c r="A23" t="s">
        <v>1214</v>
      </c>
      <c r="B23" s="138" t="str">
        <f>COVER!T21</f>
        <v>847-662-8300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839391</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9026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9026</v>
      </c>
      <c r="C91" s="2" t="s">
        <v>594</v>
      </c>
      <c r="D91" s="2" t="str">
        <f t="shared" si="0"/>
        <v>Error?</v>
      </c>
    </row>
    <row r="92" spans="1:4" x14ac:dyDescent="0.2">
      <c r="A92" s="5">
        <v>31</v>
      </c>
      <c r="B92" s="138">
        <f>'Assets-Liab 5-6'!C39</f>
        <v>830365</v>
      </c>
      <c r="D92" s="2" t="str">
        <f t="shared" si="0"/>
        <v>Error?</v>
      </c>
    </row>
    <row r="93" spans="1:4" x14ac:dyDescent="0.2">
      <c r="A93" s="5">
        <v>32</v>
      </c>
      <c r="B93" s="138">
        <f>'Assets-Liab 5-6'!C41</f>
        <v>839391</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149588</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149588</v>
      </c>
      <c r="D123" s="2" t="str">
        <f t="shared" si="0"/>
        <v>Error?</v>
      </c>
    </row>
    <row r="124" spans="1:4" x14ac:dyDescent="0.2">
      <c r="A124" s="5">
        <v>63</v>
      </c>
      <c r="B124" s="138">
        <f>'Assets-Liab 5-6'!D41</f>
        <v>149588</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131141</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131141</v>
      </c>
      <c r="D189" s="2" t="str">
        <f t="shared" si="1"/>
        <v>Error?</v>
      </c>
    </row>
    <row r="190" spans="1:4" x14ac:dyDescent="0.2">
      <c r="A190" s="5">
        <v>129</v>
      </c>
      <c r="B190" s="138">
        <f>'Assets-Liab 5-6'!G41</f>
        <v>131141</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267439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267439</v>
      </c>
      <c r="C279" s="2" t="s">
        <v>594</v>
      </c>
      <c r="D279" s="2" t="str">
        <f t="shared" si="3"/>
        <v>Error?</v>
      </c>
    </row>
    <row r="280" spans="1:4" x14ac:dyDescent="0.2">
      <c r="A280" s="5">
        <v>219</v>
      </c>
      <c r="B280" s="138">
        <f>'Assets-Liab 5-6'!M40</f>
        <v>267439</v>
      </c>
      <c r="D280" s="2" t="str">
        <f t="shared" si="3"/>
        <v>Error?</v>
      </c>
    </row>
    <row r="281" spans="1:4" x14ac:dyDescent="0.2">
      <c r="A281" s="5">
        <v>220</v>
      </c>
      <c r="B281" s="138">
        <f>'Assets-Liab 5-6'!M41</f>
        <v>267439</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659671</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773503</v>
      </c>
      <c r="D723" s="2" t="str">
        <f t="shared" si="10"/>
        <v>Error?</v>
      </c>
    </row>
    <row r="724" spans="1:4" x14ac:dyDescent="0.2">
      <c r="A724" s="5">
        <v>663</v>
      </c>
      <c r="B724" s="138">
        <f>'Expenditures 15-22'!C39</f>
        <v>249341</v>
      </c>
      <c r="D724" s="2" t="str">
        <f t="shared" si="10"/>
        <v>Error?</v>
      </c>
    </row>
    <row r="725" spans="1:4" x14ac:dyDescent="0.2">
      <c r="A725" s="5">
        <v>664</v>
      </c>
      <c r="B725" s="138">
        <f>'Expenditures 15-22'!C40</f>
        <v>453545</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1476389</v>
      </c>
      <c r="C727" s="2" t="s">
        <v>594</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594</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1476389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2136060</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131124</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948</v>
      </c>
      <c r="D781" s="2" t="str">
        <f t="shared" si="11"/>
        <v>Error?</v>
      </c>
    </row>
    <row r="782" spans="1:4" x14ac:dyDescent="0.2">
      <c r="A782" s="5">
        <v>721</v>
      </c>
      <c r="B782" s="138">
        <f>'Expenditures 15-22'!D39</f>
        <v>97310</v>
      </c>
      <c r="D782" s="2" t="str">
        <f t="shared" si="11"/>
        <v>Error?</v>
      </c>
    </row>
    <row r="783" spans="1:4" x14ac:dyDescent="0.2">
      <c r="A783" s="5">
        <v>722</v>
      </c>
      <c r="B783" s="138">
        <f>'Expenditures 15-22'!D40</f>
        <v>5108</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103366</v>
      </c>
      <c r="C785" s="2" t="s">
        <v>594</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6581</v>
      </c>
      <c r="C792" s="2" t="s">
        <v>594</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109947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241071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1031</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594</v>
      </c>
      <c r="D843" s="2" t="str">
        <f t="shared" si="12"/>
        <v>Error?</v>
      </c>
    </row>
    <row r="844" spans="1:4" x14ac:dyDescent="0.2">
      <c r="A844" s="5">
        <v>783</v>
      </c>
      <c r="B844" s="138">
        <f>'Expenditures 15-22'!E44</f>
        <v>81076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6358</v>
      </c>
      <c r="D846" s="2" t="str">
        <f t="shared" si="12"/>
        <v>Error?</v>
      </c>
    </row>
    <row r="847" spans="1:4" x14ac:dyDescent="0.2">
      <c r="A847" s="5">
        <v>786</v>
      </c>
      <c r="B847" s="138">
        <f>'Expenditures 15-22'!E47</f>
        <v>87434</v>
      </c>
      <c r="C847" s="2" t="s">
        <v>594</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1000</v>
      </c>
      <c r="C850" s="2" t="s">
        <v>594</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45000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45000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10849</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10849</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144283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145314</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32222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359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359</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3777</v>
      </c>
      <c r="D904" s="2" t="str">
        <f t="shared" si="13"/>
        <v>Error?</v>
      </c>
    </row>
    <row r="905" spans="1:4" x14ac:dyDescent="0.2">
      <c r="A905" s="5">
        <v>844</v>
      </c>
      <c r="B905" s="138">
        <f>'Expenditures 15-22'!F47</f>
        <v>3777</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594</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4136</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36358</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68219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68219</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26103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594</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1389918</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1416021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0</v>
      </c>
      <c r="C1105" s="2" t="s">
        <v>594</v>
      </c>
      <c r="D1105" s="2" t="str">
        <f t="shared" si="16"/>
        <v>Error?</v>
      </c>
    </row>
    <row r="1106" spans="1:4" x14ac:dyDescent="0.2">
      <c r="A1106" s="5">
        <v>1045</v>
      </c>
      <c r="B1106" s="138">
        <f>'Expenditures 15-22'!K14</f>
        <v>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918370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774451</v>
      </c>
      <c r="C1111" s="2" t="s">
        <v>594</v>
      </c>
      <c r="D1111" s="2" t="str">
        <f t="shared" si="16"/>
        <v>Error?</v>
      </c>
    </row>
    <row r="1112" spans="1:4" x14ac:dyDescent="0.2">
      <c r="A1112" s="5">
        <v>1051</v>
      </c>
      <c r="B1112" s="138">
        <f>'Expenditures 15-22'!K39</f>
        <v>346651</v>
      </c>
      <c r="C1112" s="2" t="s">
        <v>594</v>
      </c>
      <c r="D1112" s="2" t="str">
        <f t="shared" si="16"/>
        <v>Error?</v>
      </c>
    </row>
    <row r="1113" spans="1:4" x14ac:dyDescent="0.2">
      <c r="A1113" s="5">
        <v>1052</v>
      </c>
      <c r="B1113" s="138">
        <f>'Expenditures 15-22'!K40</f>
        <v>459012</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1580114</v>
      </c>
      <c r="C1115" s="2" t="s">
        <v>594</v>
      </c>
      <c r="D1115" s="2" t="str">
        <f t="shared" si="16"/>
        <v>Error?</v>
      </c>
    </row>
    <row r="1116" spans="1:4" x14ac:dyDescent="0.2">
      <c r="A1116" s="5">
        <v>1055</v>
      </c>
      <c r="B1116" s="138">
        <f>'Expenditures 15-22'!K44</f>
        <v>81076</v>
      </c>
      <c r="C1116" s="2" t="s">
        <v>594</v>
      </c>
      <c r="D1116" s="2" t="str">
        <f t="shared" si="16"/>
        <v>Error?</v>
      </c>
    </row>
    <row r="1117" spans="1:4" x14ac:dyDescent="0.2">
      <c r="A1117" s="5">
        <v>1056</v>
      </c>
      <c r="B1117" s="138">
        <f>'Expenditures 15-22'!K45</f>
        <v>0</v>
      </c>
      <c r="C1117" s="2" t="s">
        <v>594</v>
      </c>
      <c r="D1117" s="2" t="str">
        <f t="shared" si="16"/>
        <v>Error?</v>
      </c>
    </row>
    <row r="1118" spans="1:4" x14ac:dyDescent="0.2">
      <c r="A1118" s="5">
        <v>1057</v>
      </c>
      <c r="B1118" s="138">
        <f>'Expenditures 15-22'!K46</f>
        <v>10135</v>
      </c>
      <c r="C1118" s="2" t="s">
        <v>594</v>
      </c>
      <c r="D1118" s="2" t="str">
        <f t="shared" si="16"/>
        <v>Error?</v>
      </c>
    </row>
    <row r="1119" spans="1:4" x14ac:dyDescent="0.2">
      <c r="A1119" s="5">
        <v>1058</v>
      </c>
      <c r="B1119" s="138">
        <f>'Expenditures 15-22'!K47</f>
        <v>91211</v>
      </c>
      <c r="C1119" s="2" t="s">
        <v>594</v>
      </c>
      <c r="D1119" s="2" t="str">
        <f t="shared" si="16"/>
        <v>Error?</v>
      </c>
    </row>
    <row r="1120" spans="1:4" x14ac:dyDescent="0.2">
      <c r="A1120" s="5">
        <v>1059</v>
      </c>
      <c r="B1120" s="138">
        <f>'Expenditures 15-22'!K49</f>
        <v>0</v>
      </c>
      <c r="C1120" s="2" t="s">
        <v>594</v>
      </c>
      <c r="D1120" s="2" t="str">
        <f t="shared" si="16"/>
        <v>Error?</v>
      </c>
    </row>
    <row r="1121" spans="1:4" x14ac:dyDescent="0.2">
      <c r="A1121" s="5">
        <v>1060</v>
      </c>
      <c r="B1121" s="138">
        <f>'Expenditures 15-22'!K50</f>
        <v>0</v>
      </c>
      <c r="C1121" s="2" t="s">
        <v>594</v>
      </c>
      <c r="D1121" s="2" t="str">
        <f t="shared" si="16"/>
        <v>Error?</v>
      </c>
    </row>
    <row r="1122" spans="1:4" x14ac:dyDescent="0.2">
      <c r="A1122" s="5">
        <v>1061</v>
      </c>
      <c r="B1122" s="138">
        <f>'Expenditures 15-22'!K53</f>
        <v>7581</v>
      </c>
      <c r="C1122" s="2" t="s">
        <v>594</v>
      </c>
      <c r="D1122" s="2" t="str">
        <f t="shared" si="16"/>
        <v>Error?</v>
      </c>
    </row>
    <row r="1123" spans="1:4" x14ac:dyDescent="0.2">
      <c r="A1123" s="5">
        <v>1062</v>
      </c>
      <c r="B1123" s="138">
        <f>'Expenditures 15-22'!K55</f>
        <v>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0</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45000</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0</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45000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10849</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10849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1734755</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1389918</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4043043</v>
      </c>
      <c r="C1152" s="2" t="s">
        <v>594</v>
      </c>
      <c r="D1152" s="2" t="str">
        <f t="shared" si="17"/>
        <v>Error?</v>
      </c>
    </row>
    <row r="1153" spans="1:4" x14ac:dyDescent="0.2">
      <c r="A1153" s="5">
        <v>1092</v>
      </c>
      <c r="B1153" s="138">
        <f>'Expenditures 15-22'!K115</f>
        <v>56522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145566</v>
      </c>
      <c r="D1237" s="2" t="str">
        <f t="shared" si="18"/>
        <v>Error?</v>
      </c>
    </row>
    <row r="1238" spans="1:4" x14ac:dyDescent="0.2">
      <c r="A1238" s="10">
        <v>1177</v>
      </c>
      <c r="D1238" s="2" t="str">
        <f t="shared" si="18"/>
        <v>OK</v>
      </c>
    </row>
    <row r="1239" spans="1:4" x14ac:dyDescent="0.2">
      <c r="A1239" s="5">
        <v>1178</v>
      </c>
      <c r="B1239" s="138">
        <f>'Expenditures 15-22'!E127</f>
        <v>145566</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145566</v>
      </c>
      <c r="C1241" s="2" t="s">
        <v>594</v>
      </c>
      <c r="D1241" s="2" t="str">
        <f t="shared" si="18"/>
        <v>Error?</v>
      </c>
    </row>
    <row r="1242" spans="1:4" x14ac:dyDescent="0.2">
      <c r="A1242" s="5">
        <v>1181</v>
      </c>
      <c r="B1242" s="138">
        <f>'Expenditures 15-22'!E151</f>
        <v>145566</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594</v>
      </c>
      <c r="D1249" s="2" t="str">
        <f t="shared" si="18"/>
        <v>Error?</v>
      </c>
    </row>
    <row r="1250" spans="1:4" x14ac:dyDescent="0.2">
      <c r="A1250" s="5">
        <v>1189</v>
      </c>
      <c r="B1250" s="138">
        <f>'Expenditures 15-22'!F151</f>
        <v>0</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145566</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145566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145566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145566</v>
      </c>
      <c r="C1288" s="2" t="s">
        <v>594</v>
      </c>
      <c r="D1288" s="2" t="str">
        <f t="shared" si="19"/>
        <v>Error?</v>
      </c>
    </row>
    <row r="1289" spans="1:4" x14ac:dyDescent="0.2">
      <c r="A1289" s="5">
        <v>1228</v>
      </c>
      <c r="B1289" s="138">
        <f>'Expenditures 15-22'!K152</f>
        <v>54434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0</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0</v>
      </c>
      <c r="C1388" s="2" t="s">
        <v>594</v>
      </c>
      <c r="D1388" s="2" t="str">
        <f t="shared" si="20"/>
        <v>Error?</v>
      </c>
    </row>
    <row r="1389" spans="1:4" x14ac:dyDescent="0.2">
      <c r="A1389" s="5">
        <v>1328</v>
      </c>
      <c r="B1389" s="138">
        <f>'Expenditures 15-22'!K211</f>
        <v>0</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38138</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6055</v>
      </c>
      <c r="D1412" s="2" t="str">
        <f t="shared" si="21"/>
        <v>Error?</v>
      </c>
    </row>
    <row r="1413" spans="1:4" x14ac:dyDescent="0.2">
      <c r="A1413" s="5">
        <v>1352</v>
      </c>
      <c r="B1413" s="138">
        <f>'Expenditures 15-22'!D234</f>
        <v>97366</v>
      </c>
      <c r="D1413" s="2" t="str">
        <f t="shared" si="21"/>
        <v>Error?</v>
      </c>
    </row>
    <row r="1414" spans="1:4" x14ac:dyDescent="0.2">
      <c r="A1414" s="5">
        <v>1353</v>
      </c>
      <c r="B1414" s="138">
        <f>'Expenditures 15-22'!D235</f>
        <v>3262</v>
      </c>
      <c r="D1414" s="2" t="str">
        <f t="shared" si="21"/>
        <v>Error?</v>
      </c>
    </row>
    <row r="1415" spans="1:4" x14ac:dyDescent="0.2">
      <c r="A1415" s="5">
        <v>1354</v>
      </c>
      <c r="B1415" s="138">
        <f>'Expenditures 15-22'!D236</f>
        <v>19588</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126271</v>
      </c>
      <c r="C1417" s="2" t="s">
        <v>594</v>
      </c>
      <c r="D1417" s="2" t="str">
        <f t="shared" si="21"/>
        <v>Error?</v>
      </c>
    </row>
    <row r="1418" spans="1:4" x14ac:dyDescent="0.2">
      <c r="A1418" s="5">
        <v>1357</v>
      </c>
      <c r="B1418" s="138">
        <f>'Expenditures 15-22'!D240</f>
        <v>160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160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594</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126431</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164569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0</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38138</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6055</v>
      </c>
      <c r="C1476" s="2" t="s">
        <v>594</v>
      </c>
      <c r="D1476" s="2" t="str">
        <f t="shared" si="22"/>
        <v>Error?</v>
      </c>
    </row>
    <row r="1477" spans="1:4" x14ac:dyDescent="0.2">
      <c r="A1477" s="5">
        <v>1416</v>
      </c>
      <c r="B1477" s="138">
        <f>'Expenditures 15-22'!K234</f>
        <v>97366</v>
      </c>
      <c r="C1477" s="2" t="s">
        <v>594</v>
      </c>
      <c r="D1477" s="2" t="str">
        <f t="shared" si="22"/>
        <v>Error?</v>
      </c>
    </row>
    <row r="1478" spans="1:4" x14ac:dyDescent="0.2">
      <c r="A1478" s="5">
        <v>1417</v>
      </c>
      <c r="B1478" s="138">
        <f>'Expenditures 15-22'!K235</f>
        <v>3262</v>
      </c>
      <c r="C1478" s="2" t="s">
        <v>594</v>
      </c>
      <c r="D1478" s="2" t="str">
        <f t="shared" si="22"/>
        <v>Error?</v>
      </c>
    </row>
    <row r="1479" spans="1:4" x14ac:dyDescent="0.2">
      <c r="A1479" s="5">
        <v>1418</v>
      </c>
      <c r="B1479" s="138">
        <f>'Expenditures 15-22'!K236</f>
        <v>19588</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126271</v>
      </c>
      <c r="C1481" s="2" t="s">
        <v>594</v>
      </c>
      <c r="D1481" s="2" t="str">
        <f t="shared" si="22"/>
        <v>Error?</v>
      </c>
    </row>
    <row r="1482" spans="1:4" x14ac:dyDescent="0.2">
      <c r="A1482" s="5">
        <v>1421</v>
      </c>
      <c r="B1482" s="138">
        <f>'Expenditures 15-22'!K240</f>
        <v>160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160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0</v>
      </c>
      <c r="C1487" s="2" t="s">
        <v>594</v>
      </c>
      <c r="D1487" s="2" t="str">
        <f t="shared" si="22"/>
        <v>Error?</v>
      </c>
    </row>
    <row r="1488" spans="1:4" x14ac:dyDescent="0.2">
      <c r="A1488" s="5">
        <v>1427</v>
      </c>
      <c r="B1488" s="138">
        <f>'Expenditures 15-22'!K257</f>
        <v>0</v>
      </c>
      <c r="C1488" s="2" t="s">
        <v>594</v>
      </c>
      <c r="D1488" s="2" t="str">
        <f t="shared" si="22"/>
        <v>Error?</v>
      </c>
    </row>
    <row r="1489" spans="1:4" x14ac:dyDescent="0.2">
      <c r="A1489" s="5">
        <v>1428</v>
      </c>
      <c r="B1489" s="138">
        <f>'Expenditures 15-22'!K259</f>
        <v>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0</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126431</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164569</v>
      </c>
      <c r="C1517" s="2" t="s">
        <v>594</v>
      </c>
      <c r="D1517" s="2" t="str">
        <f t="shared" si="22"/>
        <v>Error?</v>
      </c>
    </row>
    <row r="1518" spans="1:4" x14ac:dyDescent="0.2">
      <c r="A1518" s="5">
        <v>1457</v>
      </c>
      <c r="B1518" s="138">
        <f>'Expenditures 15-22'!K296</f>
        <v>35431</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773843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830365</v>
      </c>
      <c r="C1630" s="2" t="s">
        <v>594</v>
      </c>
      <c r="D1630" s="2" t="str">
        <f t="shared" si="24"/>
        <v>Error?</v>
      </c>
    </row>
    <row r="1631" spans="1:4" x14ac:dyDescent="0.2">
      <c r="A1631" s="5">
        <v>1570</v>
      </c>
      <c r="B1631" s="138">
        <f>'Acct Summary 7-8'!D79</f>
        <v>95154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149588</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594</v>
      </c>
      <c r="D1672" s="2" t="str">
        <f t="shared" si="25"/>
        <v>Error?</v>
      </c>
    </row>
    <row r="1673" spans="1:4" x14ac:dyDescent="0.2">
      <c r="A1673" s="5">
        <v>1612</v>
      </c>
      <c r="B1673" s="138">
        <f>'Acct Summary 7-8'!G79</f>
        <v>95710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131141</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594</v>
      </c>
      <c r="D1744" s="2" t="str">
        <f t="shared" si="26"/>
        <v>Error?</v>
      </c>
    </row>
    <row r="1745" spans="1:5" x14ac:dyDescent="0.2">
      <c r="A1745" s="5">
        <v>1684</v>
      </c>
      <c r="B1745" s="138">
        <f>'Tax Sched 23'!B5</f>
        <v>0</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0</v>
      </c>
      <c r="C1747" s="2" t="s">
        <v>594</v>
      </c>
      <c r="D1747" s="2" t="str">
        <f t="shared" si="26"/>
        <v>Error?</v>
      </c>
    </row>
    <row r="1748" spans="1:5" x14ac:dyDescent="0.2">
      <c r="A1748" s="5">
        <v>1687</v>
      </c>
      <c r="B1748" s="138">
        <f>'Tax Sched 23'!B8</f>
        <v>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0</v>
      </c>
      <c r="C1759" s="2" t="s">
        <v>594</v>
      </c>
      <c r="D1759" s="2" t="str">
        <f t="shared" si="26"/>
        <v>Error?</v>
      </c>
    </row>
    <row r="1760" spans="1:5" x14ac:dyDescent="0.2">
      <c r="A1760" s="5">
        <v>1699</v>
      </c>
      <c r="B1760" s="138">
        <f>'Tax Sched 23'!D4</f>
        <v>0</v>
      </c>
      <c r="C1760" s="2" t="s">
        <v>594</v>
      </c>
      <c r="D1760" s="2" t="str">
        <f t="shared" si="26"/>
        <v>Error?</v>
      </c>
    </row>
    <row r="1761" spans="1:5" x14ac:dyDescent="0.2">
      <c r="A1761" s="5">
        <v>1700</v>
      </c>
      <c r="B1761" s="138">
        <f>'Tax Sched 23'!D5</f>
        <v>0</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0</v>
      </c>
      <c r="C1763" s="2" t="s">
        <v>594</v>
      </c>
      <c r="D1763" s="2" t="str">
        <f t="shared" si="26"/>
        <v>Error?</v>
      </c>
    </row>
    <row r="1764" spans="1:5" x14ac:dyDescent="0.2">
      <c r="A1764" s="5">
        <v>1703</v>
      </c>
      <c r="B1764" s="138">
        <f>'Tax Sched 23'!D8</f>
        <v>0</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199220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199220</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68219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68219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0</v>
      </c>
      <c r="C2027" s="2" t="s">
        <v>594</v>
      </c>
      <c r="D2027" s="2" t="str">
        <f t="shared" si="30"/>
        <v>Error?</v>
      </c>
    </row>
    <row r="2028" spans="1:4" x14ac:dyDescent="0.2">
      <c r="A2028" s="5">
        <v>1967</v>
      </c>
      <c r="B2028" s="138">
        <f>'Cap Outlay Deprec 26'!F10</f>
        <v>0</v>
      </c>
      <c r="C2028" s="2" t="s">
        <v>594</v>
      </c>
      <c r="D2028" s="2" t="str">
        <f t="shared" si="30"/>
        <v>Error?</v>
      </c>
    </row>
    <row r="2029" spans="1:4" x14ac:dyDescent="0.2">
      <c r="A2029" s="5">
        <v>1968</v>
      </c>
      <c r="B2029" s="138">
        <f>'Cap Outlay Deprec 26'!F12</f>
        <v>267439</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267439</v>
      </c>
      <c r="C2031" s="2" t="s">
        <v>594</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37091</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37091</v>
      </c>
      <c r="C2037" s="2" t="s">
        <v>594</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26744</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26744</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0</v>
      </c>
      <c r="C2051" s="2" t="s">
        <v>594</v>
      </c>
      <c r="D2051" s="2" t="str">
        <f t="shared" si="31"/>
        <v>Error?</v>
      </c>
    </row>
    <row r="2052" spans="1:4" x14ac:dyDescent="0.2">
      <c r="A2052" s="5">
        <v>1991</v>
      </c>
      <c r="B2052" s="138">
        <f>'Cap Outlay Deprec 26'!K10</f>
        <v>0</v>
      </c>
      <c r="C2052" s="2" t="s">
        <v>594</v>
      </c>
      <c r="D2052" s="2" t="str">
        <f t="shared" si="31"/>
        <v>Error?</v>
      </c>
    </row>
    <row r="2053" spans="1:4" x14ac:dyDescent="0.2">
      <c r="A2053" s="5">
        <v>1992</v>
      </c>
      <c r="B2053" s="138">
        <f>'Cap Outlay Deprec 26'!K12</f>
        <v>63835</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63835</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0</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203604</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203604</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1389918</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1389918</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1901733</v>
      </c>
      <c r="C2551" s="2" t="s">
        <v>594</v>
      </c>
      <c r="D2551" s="2" t="str">
        <f t="shared" si="38"/>
        <v>Error?</v>
      </c>
    </row>
    <row r="2552" spans="1:4" x14ac:dyDescent="0.2">
      <c r="A2552" s="10">
        <v>2491</v>
      </c>
      <c r="D2552" s="2" t="str">
        <f t="shared" si="38"/>
        <v>OK</v>
      </c>
    </row>
    <row r="2553" spans="1:4" x14ac:dyDescent="0.2">
      <c r="A2553" s="5">
        <v>2492</v>
      </c>
      <c r="B2553" s="138">
        <f>'Acct Summary 7-8'!C6</f>
        <v>143303</v>
      </c>
      <c r="C2553" s="2" t="s">
        <v>594</v>
      </c>
      <c r="D2553" s="2" t="str">
        <f t="shared" si="38"/>
        <v>Error?</v>
      </c>
    </row>
    <row r="2554" spans="1:4" x14ac:dyDescent="0.2">
      <c r="A2554" s="5">
        <v>2493</v>
      </c>
      <c r="B2554" s="138">
        <f>'Acct Summary 7-8'!C7</f>
        <v>2054529</v>
      </c>
      <c r="C2554" s="2" t="s">
        <v>594</v>
      </c>
      <c r="D2554" s="2" t="str">
        <f t="shared" si="38"/>
        <v>Error?</v>
      </c>
    </row>
    <row r="2555" spans="1:4" x14ac:dyDescent="0.2">
      <c r="A2555" s="5">
        <v>2494</v>
      </c>
      <c r="B2555" s="138">
        <f>'Acct Summary 7-8'!C8</f>
        <v>4099565</v>
      </c>
      <c r="C2555" s="2" t="s">
        <v>594</v>
      </c>
      <c r="D2555" s="2" t="str">
        <f t="shared" si="38"/>
        <v>Error?</v>
      </c>
    </row>
    <row r="2556" spans="1:4" x14ac:dyDescent="0.2">
      <c r="A2556" s="5">
        <v>2495</v>
      </c>
      <c r="B2556" s="138">
        <f>'Acct Summary 7-8'!C12</f>
        <v>918370</v>
      </c>
      <c r="C2556" s="2" t="s">
        <v>594</v>
      </c>
      <c r="D2556" s="2" t="str">
        <f t="shared" si="38"/>
        <v>Error?</v>
      </c>
    </row>
    <row r="2557" spans="1:4" x14ac:dyDescent="0.2">
      <c r="A2557" s="5">
        <v>2496</v>
      </c>
      <c r="B2557" s="138">
        <f>'Acct Summary 7-8'!C13</f>
        <v>1734755</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1389918</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4043043</v>
      </c>
      <c r="C2561" s="2" t="s">
        <v>594</v>
      </c>
      <c r="D2561" s="2" t="str">
        <f t="shared" si="39"/>
        <v>Error?</v>
      </c>
    </row>
    <row r="2562" spans="1:4" x14ac:dyDescent="0.2">
      <c r="A2562" s="5">
        <v>2501</v>
      </c>
      <c r="B2562" s="138">
        <f>'Acct Summary 7-8'!C20</f>
        <v>56522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200000</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200000</v>
      </c>
      <c r="C2568" s="2" t="s">
        <v>594</v>
      </c>
      <c r="D2568" s="2" t="str">
        <f t="shared" si="39"/>
        <v>Error?</v>
      </c>
    </row>
    <row r="2569" spans="1:4" x14ac:dyDescent="0.2">
      <c r="A2569" s="5">
        <v>2508</v>
      </c>
      <c r="B2569" s="138">
        <f>'Acct Summary 7-8'!D13</f>
        <v>145566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145566</v>
      </c>
      <c r="C2573" s="2" t="s">
        <v>594</v>
      </c>
      <c r="D2573" s="2" t="str">
        <f t="shared" si="39"/>
        <v>Error?</v>
      </c>
    </row>
    <row r="2574" spans="1:4" x14ac:dyDescent="0.2">
      <c r="A2574" s="5">
        <v>2513</v>
      </c>
      <c r="B2574" s="138">
        <f>'Acct Summary 7-8'!D20</f>
        <v>54434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594</v>
      </c>
      <c r="D2591" s="2" t="str">
        <f t="shared" si="39"/>
        <v>Error?</v>
      </c>
    </row>
    <row r="2592" spans="1:4" x14ac:dyDescent="0.2">
      <c r="A2592" s="10">
        <v>2531</v>
      </c>
      <c r="D2592" s="2" t="str">
        <f t="shared" si="39"/>
        <v>OK</v>
      </c>
    </row>
    <row r="2593" spans="1:4" x14ac:dyDescent="0.2">
      <c r="A2593" s="5">
        <v>2532</v>
      </c>
      <c r="B2593" s="138">
        <f>'Acct Summary 7-8'!F6</f>
        <v>0</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0</v>
      </c>
      <c r="C2595" s="2" t="s">
        <v>594</v>
      </c>
      <c r="D2595" s="2" t="str">
        <f t="shared" si="39"/>
        <v>Error?</v>
      </c>
    </row>
    <row r="2596" spans="1:4" x14ac:dyDescent="0.2">
      <c r="A2596" s="5">
        <v>2535</v>
      </c>
      <c r="B2596" s="138">
        <f>'Acct Summary 7-8'!F13</f>
        <v>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0</v>
      </c>
      <c r="C2600" s="2" t="s">
        <v>594</v>
      </c>
      <c r="D2600" s="2" t="str">
        <f t="shared" si="39"/>
        <v>Error?</v>
      </c>
    </row>
    <row r="2601" spans="1:4" x14ac:dyDescent="0.2">
      <c r="A2601" s="5">
        <v>2540</v>
      </c>
      <c r="B2601" s="138">
        <f>'Acct Summary 7-8'!F20</f>
        <v>0</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200000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200000</v>
      </c>
      <c r="C2606" s="2" t="s">
        <v>594</v>
      </c>
      <c r="D2606" s="2" t="str">
        <f t="shared" si="39"/>
        <v>Error?</v>
      </c>
    </row>
    <row r="2607" spans="1:4" x14ac:dyDescent="0.2">
      <c r="A2607" s="5">
        <v>2546</v>
      </c>
      <c r="B2607" s="138">
        <f>'Acct Summary 7-8'!G12</f>
        <v>38138</v>
      </c>
      <c r="C2607" s="2" t="s">
        <v>594</v>
      </c>
      <c r="D2607" s="2" t="str">
        <f t="shared" si="39"/>
        <v>Error?</v>
      </c>
    </row>
    <row r="2608" spans="1:4" x14ac:dyDescent="0.2">
      <c r="A2608" s="5">
        <v>2547</v>
      </c>
      <c r="B2608" s="138">
        <f>'Acct Summary 7-8'!G13</f>
        <v>126431</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164569</v>
      </c>
      <c r="C2612" s="2" t="s">
        <v>594</v>
      </c>
      <c r="D2612" s="2" t="str">
        <f t="shared" si="39"/>
        <v>Error?</v>
      </c>
    </row>
    <row r="2613" spans="1:4" x14ac:dyDescent="0.2">
      <c r="A2613" s="5">
        <v>2552</v>
      </c>
      <c r="B2613" s="138">
        <f>'Acct Summary 7-8'!G20</f>
        <v>35431</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594</v>
      </c>
      <c r="D2916" s="2" t="str">
        <f t="shared" si="44"/>
        <v>Error?</v>
      </c>
    </row>
    <row r="2917" spans="1:4" x14ac:dyDescent="0.2">
      <c r="A2917" s="5">
        <v>2856</v>
      </c>
      <c r="B2917" s="138">
        <f>'Assets-Liab 5-6'!L41</f>
        <v>0</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1389918</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1389918</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56522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54434</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0</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35431</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659671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131124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1031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32222</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68219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26103</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918370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38138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594</v>
      </c>
      <c r="D3390" s="2" t="str">
        <f t="shared" si="51"/>
        <v>Error?</v>
      </c>
    </row>
    <row r="3391" spans="1:4" x14ac:dyDescent="0.2">
      <c r="A3391" s="5">
        <v>3330</v>
      </c>
      <c r="B3391" s="138">
        <f>'Expenditures 15-22'!K217</f>
        <v>38138</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839391</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149588</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131141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1057586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5157151</v>
      </c>
      <c r="C4122" s="2" t="s">
        <v>594</v>
      </c>
      <c r="D4122" s="2" t="str">
        <f t="shared" si="63"/>
        <v>Error?</v>
      </c>
    </row>
    <row r="4123" spans="1:4" x14ac:dyDescent="0.2">
      <c r="A4123" s="5">
        <v>4062</v>
      </c>
      <c r="B4123" s="138">
        <f>'Acct Summary 7-8'!D10</f>
        <v>200000</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0</v>
      </c>
      <c r="C4125" s="2" t="s">
        <v>594</v>
      </c>
      <c r="D4125" s="2" t="str">
        <f t="shared" si="63"/>
        <v>Error?</v>
      </c>
    </row>
    <row r="4126" spans="1:4" x14ac:dyDescent="0.2">
      <c r="A4126" s="5">
        <v>4065</v>
      </c>
      <c r="B4126" s="138">
        <f>'Acct Summary 7-8'!G10</f>
        <v>200000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1057586</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5100629</v>
      </c>
      <c r="C4136" s="2" t="s">
        <v>594</v>
      </c>
      <c r="D4136" s="2" t="str">
        <f t="shared" si="63"/>
        <v>Error?</v>
      </c>
    </row>
    <row r="4137" spans="1:4" x14ac:dyDescent="0.2">
      <c r="A4137" s="5">
        <v>4076</v>
      </c>
      <c r="B4137" s="138">
        <f>'Acct Summary 7-8'!D19</f>
        <v>145566</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0</v>
      </c>
      <c r="C4139" s="2" t="s">
        <v>594</v>
      </c>
      <c r="D4139" s="2" t="str">
        <f t="shared" si="63"/>
        <v>Error?</v>
      </c>
    </row>
    <row r="4140" spans="1:4" x14ac:dyDescent="0.2">
      <c r="A4140" s="5">
        <v>4079</v>
      </c>
      <c r="B4140" s="138">
        <f>'Acct Summary 7-8'!G19</f>
        <v>164569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594</v>
      </c>
      <c r="D4265" s="2" t="str">
        <f t="shared" si="65"/>
        <v>Error?</v>
      </c>
      <c r="E4265" s="128"/>
    </row>
    <row r="4266" spans="1:5" x14ac:dyDescent="0.2">
      <c r="A4266" s="12">
        <v>4205</v>
      </c>
      <c r="B4266" s="138">
        <f>('FP Info 3'!F10)*100000</f>
        <v>0</v>
      </c>
      <c r="C4266" s="2" t="s">
        <v>594</v>
      </c>
      <c r="D4266" s="2" t="str">
        <f t="shared" si="65"/>
        <v>Error?</v>
      </c>
      <c r="E4266" s="128"/>
    </row>
    <row r="4267" spans="1:5" x14ac:dyDescent="0.2">
      <c r="A4267" s="12">
        <v>4206</v>
      </c>
      <c r="B4267" s="138">
        <f>('FP Info 3'!H10)*100000</f>
        <v>0</v>
      </c>
      <c r="C4267" s="2" t="s">
        <v>594</v>
      </c>
      <c r="D4267" s="2" t="str">
        <f t="shared" si="65"/>
        <v>Error?</v>
      </c>
      <c r="E4267" s="128"/>
    </row>
    <row r="4268" spans="1:5" x14ac:dyDescent="0.2">
      <c r="A4268" s="12">
        <v>4207</v>
      </c>
      <c r="B4268" s="138">
        <f>('FP Info 3'!J10)*100000</f>
        <v>0</v>
      </c>
      <c r="C4268" s="2" t="s">
        <v>594</v>
      </c>
      <c r="D4268" s="2" t="str">
        <f t="shared" si="65"/>
        <v>Error?</v>
      </c>
    </row>
    <row r="4269" spans="1:5" x14ac:dyDescent="0.2">
      <c r="A4269" s="12">
        <v>4208</v>
      </c>
      <c r="B4269" s="138">
        <f>'FP Info 3'!J16</f>
        <v>979953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10838</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18336</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1655000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594</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594</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246733</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1901733</v>
      </c>
      <c r="C5120" s="2" t="s">
        <v>594</v>
      </c>
      <c r="D5120" s="2" t="str">
        <f t="shared" si="79"/>
        <v>Error?</v>
      </c>
    </row>
    <row r="5121" spans="1:4" x14ac:dyDescent="0.2">
      <c r="A5121" s="5">
        <v>5060</v>
      </c>
      <c r="B5121" s="138">
        <f>'Revenues 9-14'!C109</f>
        <v>1901733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95535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95535</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47768</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47768</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47768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143303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0</v>
      </c>
      <c r="C5246" s="2" t="s">
        <v>594</v>
      </c>
      <c r="D5246" s="2" t="str">
        <f t="shared" si="80"/>
        <v>Error?</v>
      </c>
    </row>
    <row r="5247" spans="1:4" x14ac:dyDescent="0.2">
      <c r="A5247" s="5">
        <v>5186</v>
      </c>
      <c r="B5247" s="138">
        <f>'Revenues 9-14'!C203</f>
        <v>0</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0</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44194</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2010335</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2054529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2054529</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2054529</v>
      </c>
      <c r="C5326" s="2" t="s">
        <v>594</v>
      </c>
      <c r="D5326" s="2" t="str">
        <f t="shared" si="82"/>
        <v>Error?</v>
      </c>
    </row>
    <row r="5327" spans="1:4" x14ac:dyDescent="0.2">
      <c r="A5327" s="5">
        <v>5266</v>
      </c>
      <c r="B5327" s="138">
        <f>'Revenues 9-14'!C275</f>
        <v>4099565</v>
      </c>
      <c r="C5327" s="2" t="s">
        <v>594</v>
      </c>
      <c r="D5327" s="2" t="str">
        <f t="shared" si="82"/>
        <v>Error?</v>
      </c>
    </row>
    <row r="5328" spans="1:4"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200000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200000</v>
      </c>
      <c r="C5355" s="2" t="s">
        <v>594</v>
      </c>
      <c r="D5355" s="2" t="str">
        <f t="shared" si="82"/>
        <v>Error?</v>
      </c>
    </row>
    <row r="5356" spans="1:4" x14ac:dyDescent="0.2">
      <c r="A5356" s="5">
        <v>5295</v>
      </c>
      <c r="B5356" s="138">
        <f>'Revenues 9-14'!D109</f>
        <v>200000</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200000</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0</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0</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0</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0</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0</v>
      </c>
      <c r="C5720" s="2" t="s">
        <v>594</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200000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200000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200000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0</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56522</v>
      </c>
      <c r="D6267" s="2" t="str">
        <f t="shared" si="96"/>
        <v>Error?</v>
      </c>
      <c r="E6267" s="2" t="s">
        <v>199</v>
      </c>
    </row>
    <row r="6268" spans="1:5" x14ac:dyDescent="0.2">
      <c r="A6268">
        <v>6207</v>
      </c>
      <c r="B6268" s="138">
        <f>'Acct Summary 7-8'!D82</f>
        <v>54434</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0</v>
      </c>
      <c r="D6270" s="2" t="str">
        <f t="shared" si="96"/>
        <v>Error?</v>
      </c>
      <c r="E6270" s="2" t="s">
        <v>199</v>
      </c>
    </row>
    <row r="6271" spans="1:5" x14ac:dyDescent="0.2">
      <c r="A6271">
        <v>6210</v>
      </c>
      <c r="B6271" s="138">
        <f>'Acct Summary 7-8'!G82</f>
        <v>35431</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6.8068861283893223E-2</v>
      </c>
      <c r="D6276" s="2" t="str">
        <f t="shared" si="97"/>
        <v>Error?</v>
      </c>
      <c r="E6276" s="2" t="s">
        <v>199</v>
      </c>
    </row>
    <row r="6277" spans="1:5" x14ac:dyDescent="0.2">
      <c r="A6277">
        <v>6216</v>
      </c>
      <c r="B6277" s="138">
        <f>'Acct Summary 7-8'!D83</f>
        <v>0.36389282562772413</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t="e">
        <f>'Acct Summary 7-8'!F83</f>
        <v>#DIV/0!</v>
      </c>
      <c r="D6279" s="2" t="e">
        <f t="shared" si="97"/>
        <v>#DIV/0!</v>
      </c>
      <c r="E6279" s="2" t="s">
        <v>199</v>
      </c>
    </row>
    <row r="6280" spans="1:5" x14ac:dyDescent="0.2">
      <c r="A6280">
        <v>6219</v>
      </c>
      <c r="B6280" s="138">
        <f>'Acct Summary 7-8'!G83</f>
        <v>0.27017484997064228</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200000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6581</v>
      </c>
      <c r="D6933" s="2" t="str">
        <f t="shared" si="107"/>
        <v>Error?</v>
      </c>
    </row>
    <row r="6934" spans="1:4" x14ac:dyDescent="0.2">
      <c r="A6934">
        <v>6873</v>
      </c>
      <c r="B6934" s="138">
        <f>'Expenditures 15-22'!E52</f>
        <v>1000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7581</v>
      </c>
      <c r="D6940" s="2" t="str">
        <f t="shared" si="107"/>
        <v>Error?</v>
      </c>
    </row>
    <row r="6941" spans="1:4" x14ac:dyDescent="0.2">
      <c r="A6941">
        <v>6880</v>
      </c>
      <c r="B6941" s="138">
        <f>'Expenditures 15-22'!L52</f>
        <v>39300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26744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144910</v>
      </c>
      <c r="D7797" s="2" t="str">
        <f t="shared" si="127"/>
        <v>Error?</v>
      </c>
      <c r="E7797" s="4" t="s">
        <v>2019</v>
      </c>
    </row>
    <row r="7798" spans="1:5" x14ac:dyDescent="0.2">
      <c r="A7798">
        <v>7737</v>
      </c>
      <c r="B7798" s="138">
        <f>'Contracts Paid in CY 29'!F141</f>
        <v>50000</v>
      </c>
      <c r="D7798" s="2" t="str">
        <f t="shared" si="127"/>
        <v>Error?</v>
      </c>
      <c r="E7798" s="4" t="s">
        <v>2019</v>
      </c>
    </row>
    <row r="7799" spans="1:5" x14ac:dyDescent="0.2">
      <c r="A7799">
        <v>7738</v>
      </c>
      <c r="B7799" s="138">
        <f>'Contracts Paid in CY 29'!G141</f>
        <v>94910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zoomScale="120" zoomScaleNormal="120" workbookViewId="0">
      <selection activeCell="Q19" sqref="Q19"/>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Exceptional Learners</v>
      </c>
      <c r="B7" s="2422"/>
      <c r="C7" s="2422"/>
      <c r="D7" s="2423"/>
      <c r="E7" s="2424">
        <f>COVER!A13</f>
        <v>34049801060</v>
      </c>
      <c r="F7" s="2425"/>
      <c r="G7" s="2431" t="str">
        <f>COVER!T23</f>
        <v>066-003289</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Evoy, Kamschulte, Jacobs &amp; Co. LLP</v>
      </c>
      <c r="H9" s="2437"/>
      <c r="I9" s="2437"/>
      <c r="J9" s="2437"/>
      <c r="K9" s="2437"/>
      <c r="L9" s="2438"/>
    </row>
    <row r="10" spans="1:29" ht="13.5" customHeight="1" x14ac:dyDescent="0.2">
      <c r="A10" s="2411" t="str">
        <f>COVER!A38</f>
        <v>Megan Clarke</v>
      </c>
      <c r="B10" s="2412"/>
      <c r="C10" s="2412"/>
      <c r="D10" s="2412"/>
      <c r="E10" s="2412"/>
      <c r="F10" s="2413"/>
      <c r="G10" s="2405" t="str">
        <f>COVER!T17</f>
        <v>2122 Yeoman Street</v>
      </c>
      <c r="H10" s="2406"/>
      <c r="I10" s="2406"/>
      <c r="J10" s="2406"/>
      <c r="K10" s="2406"/>
      <c r="L10" s="2407"/>
    </row>
    <row r="11" spans="1:29" ht="13.5" customHeight="1" x14ac:dyDescent="0.2">
      <c r="A11" s="1185" t="s">
        <v>1599</v>
      </c>
      <c r="B11" s="1186"/>
      <c r="C11" s="1187"/>
      <c r="D11" s="1192"/>
      <c r="E11" s="1187"/>
      <c r="F11" s="1191"/>
      <c r="G11" s="2405" t="str">
        <f>COVER!T19</f>
        <v xml:space="preserve">Waukegan </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jaceto@ekjllp.com</v>
      </c>
      <c r="J13" s="2418"/>
      <c r="K13" s="2418"/>
      <c r="L13" s="2419"/>
    </row>
    <row r="14" spans="1:29" ht="13.5" customHeight="1" x14ac:dyDescent="0.2">
      <c r="A14" s="2405" t="str">
        <f>COVER!A19</f>
        <v>601 Deerfield Parkway</v>
      </c>
      <c r="B14" s="2406"/>
      <c r="C14" s="2406"/>
      <c r="D14" s="2406"/>
      <c r="E14" s="2406"/>
      <c r="F14" s="2407"/>
      <c r="G14" s="1196" t="s">
        <v>1247</v>
      </c>
      <c r="H14" s="1194"/>
      <c r="I14" s="1194"/>
      <c r="J14" s="1194"/>
      <c r="K14" s="1194"/>
      <c r="L14" s="1195"/>
    </row>
    <row r="15" spans="1:29" ht="13.5" customHeight="1" x14ac:dyDescent="0.2">
      <c r="A15" s="2405" t="str">
        <f>COVER!A21</f>
        <v>Buffalo Grove</v>
      </c>
      <c r="B15" s="2406"/>
      <c r="C15" s="2406"/>
      <c r="D15" s="2406"/>
      <c r="E15" s="2406"/>
      <c r="F15" s="2407"/>
      <c r="G15" s="2402" t="str">
        <f>COVER!T15</f>
        <v>John D. Aceto, Jr., CPA</v>
      </c>
      <c r="H15" s="2403"/>
      <c r="I15" s="2403"/>
      <c r="J15" s="2403"/>
      <c r="K15" s="2403"/>
      <c r="L15" s="2404"/>
    </row>
    <row r="16" spans="1:29" ht="12.2" customHeight="1" x14ac:dyDescent="0.2">
      <c r="A16" s="2427">
        <f>COVER!A25</f>
        <v>60089</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847-662-8300</v>
      </c>
      <c r="H18" s="2422"/>
      <c r="I18" s="2422"/>
      <c r="J18" s="2422"/>
      <c r="K18" s="2421" t="str">
        <f>COVER!X21</f>
        <v>847-662-8305</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workbookViewId="0">
      <selection activeCell="H67" sqref="H67"/>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Exceptional Learners</v>
      </c>
      <c r="B1" s="2420"/>
      <c r="C1" s="2420"/>
      <c r="D1" s="2420"/>
    </row>
    <row r="2" spans="1:11" s="1215" customFormat="1" ht="12.75" x14ac:dyDescent="0.2">
      <c r="A2" s="2444">
        <f>'Single Audit Cover'!E7</f>
        <v>34049801060</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Exceptional Learners</v>
      </c>
      <c r="B1" s="2447"/>
      <c r="C1" s="2447"/>
      <c r="D1" s="2447"/>
      <c r="E1" s="2447"/>
    </row>
    <row r="2" spans="1:5" x14ac:dyDescent="0.2">
      <c r="A2" s="2448">
        <f>'Single Audit Cover'!E7</f>
        <v>34049801060</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2054529</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2054529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2054529</v>
      </c>
    </row>
    <row r="33" spans="1:4" x14ac:dyDescent="0.2">
      <c r="D33" s="1269"/>
    </row>
    <row r="34" spans="1:4" x14ac:dyDescent="0.2">
      <c r="A34" s="317" t="s">
        <v>1294</v>
      </c>
    </row>
    <row r="35" spans="1:4" x14ac:dyDescent="0.2">
      <c r="A35" s="317" t="s">
        <v>1293</v>
      </c>
      <c r="B35" s="1258" t="s">
        <v>1292</v>
      </c>
      <c r="D35" s="1270">
        <v>2054529</v>
      </c>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2054529</v>
      </c>
    </row>
    <row r="49" spans="2:4" x14ac:dyDescent="0.2">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4"/>
  <sheetViews>
    <sheetView zoomScaleNormal="100" workbookViewId="0">
      <selection activeCell="O22" sqref="O22"/>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Exceptional Learners</v>
      </c>
      <c r="C1" s="2451"/>
      <c r="D1" s="2451"/>
      <c r="E1" s="2451"/>
      <c r="F1" s="2451"/>
      <c r="G1" s="2451"/>
      <c r="H1" s="2451"/>
      <c r="I1" s="2451"/>
      <c r="J1" s="2451"/>
      <c r="K1" s="2451"/>
      <c r="L1" s="2451"/>
      <c r="M1" s="2451"/>
    </row>
    <row r="2" spans="2:14" ht="15" x14ac:dyDescent="0.2">
      <c r="B2" s="2452">
        <f>'Single Audit Cover'!E7</f>
        <v>34049801060</v>
      </c>
      <c r="C2" s="2452"/>
      <c r="D2" s="2452"/>
      <c r="E2" s="2452"/>
      <c r="F2" s="2452"/>
      <c r="G2" s="2452"/>
      <c r="H2" s="2452"/>
      <c r="I2" s="2452"/>
      <c r="J2" s="2452"/>
      <c r="K2" s="2452"/>
      <c r="L2" s="2452"/>
      <c r="M2" s="2452"/>
      <c r="N2" s="1302"/>
    </row>
    <row r="3" spans="2:14" ht="15" x14ac:dyDescent="0.2">
      <c r="B3" s="2453" t="s">
        <v>1281</v>
      </c>
      <c r="C3" s="2453"/>
      <c r="D3" s="2453"/>
      <c r="E3" s="2453"/>
      <c r="F3" s="2453"/>
      <c r="G3" s="2453"/>
      <c r="H3" s="2453"/>
      <c r="I3" s="2453"/>
      <c r="J3" s="2453"/>
      <c r="K3" s="2453"/>
      <c r="L3" s="2453"/>
      <c r="M3" s="2453"/>
      <c r="N3" s="1302"/>
    </row>
    <row r="4" spans="2:14" ht="15" x14ac:dyDescent="0.2">
      <c r="B4" s="2454" t="str">
        <f>'Single Audit Cover'!A4</f>
        <v>Year Ending June 30, 2018</v>
      </c>
      <c r="C4" s="2454"/>
      <c r="D4" s="2454"/>
      <c r="E4" s="2454"/>
      <c r="F4" s="2454"/>
      <c r="G4" s="2454"/>
      <c r="H4" s="2454"/>
      <c r="I4" s="2454"/>
      <c r="J4" s="2454"/>
      <c r="K4" s="2454"/>
      <c r="L4" s="2454"/>
      <c r="M4" s="2454"/>
      <c r="N4" s="1302"/>
    </row>
    <row r="6" spans="2:14" x14ac:dyDescent="0.2">
      <c r="B6" s="1303"/>
      <c r="C6" s="1304"/>
      <c r="D6" s="1305" t="s">
        <v>1327</v>
      </c>
      <c r="E6" s="1306" t="s">
        <v>548</v>
      </c>
      <c r="F6" s="1307"/>
      <c r="G6" s="1308" t="s">
        <v>1836</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1837</v>
      </c>
      <c r="D9" s="1314" t="s">
        <v>1838</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t="s">
        <v>2091</v>
      </c>
      <c r="C11" s="1338"/>
      <c r="D11" s="1339"/>
      <c r="E11" s="1340"/>
      <c r="F11" s="1340"/>
      <c r="G11" s="1340"/>
      <c r="H11" s="1340"/>
      <c r="I11" s="1340"/>
      <c r="J11" s="1340"/>
      <c r="K11" s="1340"/>
      <c r="L11" s="1340">
        <f>+G11+I11+K11</f>
        <v>0</v>
      </c>
      <c r="M11" s="1340"/>
    </row>
    <row r="12" spans="2:14" ht="20.100000000000001" customHeight="1" x14ac:dyDescent="0.2">
      <c r="B12" s="1337" t="s">
        <v>2092</v>
      </c>
      <c r="C12" s="1341"/>
      <c r="D12" s="1342"/>
      <c r="E12" s="1343"/>
      <c r="F12" s="1343"/>
      <c r="G12" s="1343"/>
      <c r="H12" s="1343"/>
      <c r="I12" s="1343"/>
      <c r="J12" s="1343"/>
      <c r="K12" s="1343"/>
      <c r="L12" s="1340">
        <f t="shared" ref="L12:L29" si="0">+G12+I12+K12</f>
        <v>0</v>
      </c>
      <c r="M12" s="1343"/>
    </row>
    <row r="13" spans="2:14" ht="20.100000000000001" customHeight="1" x14ac:dyDescent="0.2">
      <c r="B13" s="1337" t="s">
        <v>2093</v>
      </c>
      <c r="C13" s="1341"/>
      <c r="D13" s="1342"/>
      <c r="E13" s="1343"/>
      <c r="F13" s="1343"/>
      <c r="G13" s="1343"/>
      <c r="H13" s="1343"/>
      <c r="I13" s="1343"/>
      <c r="J13" s="1343"/>
      <c r="K13" s="1343"/>
      <c r="L13" s="1340">
        <f t="shared" si="0"/>
        <v>0</v>
      </c>
      <c r="M13" s="1343"/>
    </row>
    <row r="14" spans="2:14" ht="20.100000000000001" customHeight="1" x14ac:dyDescent="0.2">
      <c r="B14" s="1337" t="s">
        <v>2094</v>
      </c>
      <c r="C14" s="1341" t="s">
        <v>2105</v>
      </c>
      <c r="D14" s="1342" t="s">
        <v>2108</v>
      </c>
      <c r="E14" s="1343">
        <v>27562</v>
      </c>
      <c r="F14" s="1343">
        <v>8992</v>
      </c>
      <c r="G14" s="1343">
        <v>36554</v>
      </c>
      <c r="H14" s="1343">
        <v>23310</v>
      </c>
      <c r="I14" s="1343">
        <v>0</v>
      </c>
      <c r="J14" s="1343"/>
      <c r="K14" s="1343"/>
      <c r="L14" s="1340">
        <f t="shared" si="0"/>
        <v>36554</v>
      </c>
      <c r="M14" s="1343">
        <v>41406</v>
      </c>
    </row>
    <row r="15" spans="2:14" ht="20.100000000000001" customHeight="1" x14ac:dyDescent="0.2">
      <c r="B15" s="1337" t="s">
        <v>2094</v>
      </c>
      <c r="C15" s="1341" t="s">
        <v>2105</v>
      </c>
      <c r="D15" s="1342" t="s">
        <v>2109</v>
      </c>
      <c r="E15" s="1343">
        <v>0</v>
      </c>
      <c r="F15" s="1343">
        <v>35202</v>
      </c>
      <c r="G15" s="1343">
        <v>0</v>
      </c>
      <c r="H15" s="1343"/>
      <c r="I15" s="1343">
        <v>40813</v>
      </c>
      <c r="J15" s="1343">
        <v>26570</v>
      </c>
      <c r="K15" s="1343"/>
      <c r="L15" s="1340">
        <f t="shared" si="0"/>
        <v>40813</v>
      </c>
      <c r="M15" s="1343">
        <v>43454</v>
      </c>
    </row>
    <row r="16" spans="2:14" ht="20.100000000000001" customHeight="1" x14ac:dyDescent="0.2">
      <c r="B16" s="1337" t="s">
        <v>2095</v>
      </c>
      <c r="C16" s="1341" t="s">
        <v>2106</v>
      </c>
      <c r="D16" s="1342" t="s">
        <v>2110</v>
      </c>
      <c r="E16" s="1343">
        <v>1535266</v>
      </c>
      <c r="F16" s="1343">
        <v>294439</v>
      </c>
      <c r="G16" s="1343">
        <v>1829705</v>
      </c>
      <c r="H16" s="1343">
        <v>1186160</v>
      </c>
      <c r="I16" s="1343">
        <v>0</v>
      </c>
      <c r="J16" s="1343"/>
      <c r="K16" s="1343"/>
      <c r="L16" s="1340">
        <f t="shared" si="0"/>
        <v>1829705</v>
      </c>
      <c r="M16" s="1343">
        <v>1833402</v>
      </c>
    </row>
    <row r="17" spans="2:14" ht="20.100000000000001" customHeight="1" x14ac:dyDescent="0.2">
      <c r="B17" s="1337" t="s">
        <v>2095</v>
      </c>
      <c r="C17" s="1341" t="s">
        <v>2106</v>
      </c>
      <c r="D17" s="1342" t="s">
        <v>2111</v>
      </c>
      <c r="E17" s="1343">
        <v>0</v>
      </c>
      <c r="F17" s="1343">
        <v>1715896</v>
      </c>
      <c r="G17" s="1343">
        <v>0</v>
      </c>
      <c r="H17" s="1343"/>
      <c r="I17" s="1343">
        <v>1966074</v>
      </c>
      <c r="J17" s="1343">
        <v>1333829</v>
      </c>
      <c r="K17" s="1343"/>
      <c r="L17" s="1340">
        <f t="shared" si="0"/>
        <v>1966074</v>
      </c>
      <c r="M17" s="1343">
        <v>2004707</v>
      </c>
    </row>
    <row r="18" spans="2:14" ht="20.100000000000001" customHeight="1" x14ac:dyDescent="0.2">
      <c r="B18" s="1337" t="s">
        <v>2096</v>
      </c>
      <c r="C18" s="1341"/>
      <c r="D18" s="1342"/>
      <c r="E18" s="1343">
        <v>1562828</v>
      </c>
      <c r="F18" s="1343">
        <v>2054529</v>
      </c>
      <c r="G18" s="1343">
        <v>1866259</v>
      </c>
      <c r="H18" s="1343">
        <v>1209470</v>
      </c>
      <c r="I18" s="1343">
        <v>2006887</v>
      </c>
      <c r="J18" s="1343">
        <v>1360399</v>
      </c>
      <c r="K18" s="1343"/>
      <c r="L18" s="1340">
        <f t="shared" si="0"/>
        <v>3873146</v>
      </c>
      <c r="M18" s="1343"/>
    </row>
    <row r="19" spans="2:14" ht="20.100000000000001" customHeight="1" x14ac:dyDescent="0.2">
      <c r="B19" s="1337" t="s">
        <v>2097</v>
      </c>
      <c r="C19" s="1341"/>
      <c r="D19" s="1342"/>
      <c r="E19" s="1343">
        <v>1562828</v>
      </c>
      <c r="F19" s="1343">
        <v>2054529</v>
      </c>
      <c r="G19" s="1343">
        <v>1866259</v>
      </c>
      <c r="H19" s="1343">
        <v>1209470</v>
      </c>
      <c r="I19" s="1343">
        <v>2006887</v>
      </c>
      <c r="J19" s="1343">
        <v>1360399</v>
      </c>
      <c r="K19" s="1343"/>
      <c r="L19" s="1340">
        <f t="shared" si="0"/>
        <v>3873146</v>
      </c>
      <c r="M19" s="1343"/>
    </row>
    <row r="20" spans="2:14" ht="20.100000000000001" customHeight="1" x14ac:dyDescent="0.2">
      <c r="B20" s="1337" t="s">
        <v>2127</v>
      </c>
      <c r="C20" s="1341"/>
      <c r="D20" s="1342"/>
      <c r="E20" s="1343">
        <v>1562828</v>
      </c>
      <c r="F20" s="1343">
        <v>2054529</v>
      </c>
      <c r="G20" s="1343">
        <v>1866259</v>
      </c>
      <c r="H20" s="1343">
        <v>1209470</v>
      </c>
      <c r="I20" s="1343">
        <v>2006887</v>
      </c>
      <c r="J20" s="1343">
        <v>1360399</v>
      </c>
      <c r="K20" s="1343"/>
      <c r="L20" s="1340">
        <f t="shared" si="0"/>
        <v>3873146</v>
      </c>
      <c r="M20" s="1343"/>
    </row>
    <row r="21" spans="2:14" ht="20.100000000000001" customHeight="1" x14ac:dyDescent="0.2">
      <c r="B21" s="1337"/>
      <c r="C21" s="1341"/>
      <c r="D21" s="1342"/>
      <c r="E21" s="1343"/>
      <c r="F21" s="1343"/>
      <c r="G21" s="1343"/>
      <c r="H21" s="1343"/>
      <c r="I21" s="1343"/>
      <c r="J21" s="1343"/>
      <c r="K21" s="1343"/>
      <c r="L21" s="1340"/>
      <c r="M21" s="1343"/>
    </row>
    <row r="22" spans="2:14" ht="20.100000000000001" customHeight="1" x14ac:dyDescent="0.2">
      <c r="B22" s="1337" t="s">
        <v>2098</v>
      </c>
      <c r="C22" s="1341" t="s">
        <v>2107</v>
      </c>
      <c r="D22" s="1342" t="s">
        <v>2107</v>
      </c>
      <c r="E22" s="1343">
        <v>0</v>
      </c>
      <c r="F22" s="1343"/>
      <c r="G22" s="1343">
        <v>0</v>
      </c>
      <c r="H22" s="1343"/>
      <c r="I22" s="1343"/>
      <c r="J22" s="1343"/>
      <c r="K22" s="1343"/>
      <c r="L22" s="1340">
        <f t="shared" si="0"/>
        <v>0</v>
      </c>
      <c r="M22" s="1343"/>
    </row>
    <row r="23" spans="2:14" ht="20.100000000000001" customHeight="1" x14ac:dyDescent="0.2">
      <c r="B23" s="1337" t="s">
        <v>2099</v>
      </c>
      <c r="C23" s="1341" t="s">
        <v>2107</v>
      </c>
      <c r="D23" s="1342" t="s">
        <v>2107</v>
      </c>
      <c r="E23" s="1343">
        <v>0</v>
      </c>
      <c r="F23" s="1343"/>
      <c r="G23" s="1343">
        <v>0</v>
      </c>
      <c r="H23" s="1343"/>
      <c r="I23" s="1343"/>
      <c r="J23" s="1343"/>
      <c r="K23" s="1343"/>
      <c r="L23" s="1340">
        <f t="shared" si="0"/>
        <v>0</v>
      </c>
      <c r="M23" s="1343"/>
    </row>
    <row r="24" spans="2:14" ht="20.100000000000001" customHeight="1" x14ac:dyDescent="0.2">
      <c r="B24" s="1337" t="s">
        <v>2100</v>
      </c>
      <c r="C24" s="1341" t="s">
        <v>2107</v>
      </c>
      <c r="D24" s="1342" t="s">
        <v>2107</v>
      </c>
      <c r="E24" s="1343">
        <v>0</v>
      </c>
      <c r="F24" s="1343"/>
      <c r="G24" s="1343">
        <v>0</v>
      </c>
      <c r="H24" s="1343"/>
      <c r="I24" s="1343"/>
      <c r="J24" s="1343"/>
      <c r="K24" s="1343"/>
      <c r="L24" s="1340">
        <f t="shared" si="0"/>
        <v>0</v>
      </c>
      <c r="M24" s="1343"/>
    </row>
    <row r="25" spans="2:14" ht="20.100000000000001" customHeight="1" x14ac:dyDescent="0.2">
      <c r="B25" s="1337" t="s">
        <v>2113</v>
      </c>
      <c r="C25" s="1341"/>
      <c r="D25" s="1342"/>
      <c r="E25" s="1343">
        <v>0</v>
      </c>
      <c r="F25" s="1343"/>
      <c r="G25" s="1343">
        <v>0</v>
      </c>
      <c r="H25" s="1343"/>
      <c r="I25" s="1343"/>
      <c r="J25" s="1343">
        <v>137671</v>
      </c>
      <c r="K25" s="1343"/>
      <c r="L25" s="1340">
        <f t="shared" si="0"/>
        <v>0</v>
      </c>
      <c r="M25" s="1343"/>
    </row>
    <row r="26" spans="2:14" ht="20.100000000000001" customHeight="1" x14ac:dyDescent="0.2">
      <c r="B26" s="1337" t="s">
        <v>2101</v>
      </c>
      <c r="C26" s="1341"/>
      <c r="D26" s="1342"/>
      <c r="E26" s="1343">
        <v>0</v>
      </c>
      <c r="F26" s="1343"/>
      <c r="G26" s="1343">
        <v>0</v>
      </c>
      <c r="H26" s="1343">
        <v>455176</v>
      </c>
      <c r="I26" s="1343"/>
      <c r="J26" s="1343">
        <v>463050</v>
      </c>
      <c r="K26" s="1343"/>
      <c r="L26" s="1340">
        <f t="shared" si="0"/>
        <v>0</v>
      </c>
      <c r="M26" s="1343"/>
    </row>
    <row r="27" spans="2:14" ht="20.100000000000001" customHeight="1" x14ac:dyDescent="0.2">
      <c r="B27" s="1337" t="s">
        <v>2102</v>
      </c>
      <c r="C27" s="1341"/>
      <c r="D27" s="1342"/>
      <c r="E27" s="1343">
        <v>0</v>
      </c>
      <c r="F27" s="1343"/>
      <c r="G27" s="1343">
        <v>0</v>
      </c>
      <c r="H27" s="1343">
        <v>503142</v>
      </c>
      <c r="I27" s="1343"/>
      <c r="J27" s="1343">
        <v>512482</v>
      </c>
      <c r="K27" s="1343"/>
      <c r="L27" s="1340">
        <f t="shared" si="0"/>
        <v>0</v>
      </c>
      <c r="M27" s="1343"/>
    </row>
    <row r="28" spans="2:14" ht="20.100000000000001" customHeight="1" x14ac:dyDescent="0.2">
      <c r="B28" s="1337" t="s">
        <v>2103</v>
      </c>
      <c r="C28" s="1341"/>
      <c r="D28" s="1342"/>
      <c r="E28" s="1343">
        <v>0</v>
      </c>
      <c r="F28" s="1343"/>
      <c r="G28" s="1343">
        <v>0</v>
      </c>
      <c r="H28" s="1343">
        <v>251152</v>
      </c>
      <c r="I28" s="1343"/>
      <c r="J28" s="1343">
        <v>247196</v>
      </c>
      <c r="K28" s="1343"/>
      <c r="L28" s="1340">
        <f t="shared" si="0"/>
        <v>0</v>
      </c>
      <c r="M28" s="1343"/>
    </row>
    <row r="29" spans="2:14" ht="20.100000000000001" customHeight="1" x14ac:dyDescent="0.2">
      <c r="B29" s="1337" t="s">
        <v>2104</v>
      </c>
      <c r="C29" s="1341"/>
      <c r="D29" s="1342"/>
      <c r="E29" s="1343"/>
      <c r="F29" s="1343"/>
      <c r="G29" s="1343"/>
      <c r="H29" s="1343">
        <v>1209470</v>
      </c>
      <c r="I29" s="1343"/>
      <c r="J29" s="1343">
        <v>1360399</v>
      </c>
      <c r="K29" s="1343"/>
      <c r="L29" s="1340">
        <f t="shared" si="0"/>
        <v>0</v>
      </c>
      <c r="M29" s="1343"/>
      <c r="N29" s="1344"/>
    </row>
    <row r="30" spans="2:14" ht="12.75" customHeight="1" x14ac:dyDescent="0.2">
      <c r="B30" s="1345"/>
      <c r="C30" s="1346"/>
      <c r="D30" s="1347"/>
      <c r="E30" s="1348"/>
      <c r="F30" s="1348"/>
      <c r="G30" s="1348"/>
      <c r="H30" s="1348"/>
      <c r="I30" s="1348"/>
      <c r="J30" s="1348"/>
      <c r="K30" s="1348"/>
      <c r="L30" s="1348"/>
      <c r="M30" s="1348"/>
      <c r="N30" s="1344"/>
    </row>
    <row r="31" spans="2:14" x14ac:dyDescent="0.2">
      <c r="B31" s="1257"/>
      <c r="C31" s="1349"/>
      <c r="D31" s="1350"/>
      <c r="E31" s="1257"/>
      <c r="F31" s="1257"/>
      <c r="G31" s="1250"/>
      <c r="H31" s="1250"/>
      <c r="I31" s="1250"/>
      <c r="J31" s="1250"/>
      <c r="K31" s="1250"/>
      <c r="L31" s="1250"/>
      <c r="M31" s="1257"/>
      <c r="N31" s="1344"/>
    </row>
    <row r="32" spans="2:14" ht="13.5" customHeight="1" x14ac:dyDescent="0.2">
      <c r="B32" s="1282" t="s">
        <v>1839</v>
      </c>
      <c r="C32" s="1349"/>
      <c r="D32" s="1350"/>
      <c r="E32" s="1257"/>
      <c r="F32" s="1257"/>
      <c r="G32" s="1250"/>
      <c r="H32" s="1250"/>
      <c r="I32" s="1250"/>
      <c r="J32" s="1250"/>
      <c r="K32" s="1250"/>
      <c r="L32" s="1250"/>
      <c r="M32" s="1257"/>
      <c r="N32" s="1344"/>
    </row>
    <row r="33" spans="2:14" ht="8.25" customHeight="1" x14ac:dyDescent="0.2">
      <c r="B33" s="1282"/>
      <c r="C33" s="1349"/>
      <c r="D33" s="1350"/>
      <c r="E33" s="1257"/>
      <c r="F33" s="1257"/>
      <c r="G33" s="1250"/>
      <c r="H33" s="1250"/>
      <c r="I33" s="1250"/>
      <c r="J33" s="1250"/>
      <c r="K33" s="1250"/>
      <c r="L33" s="1250"/>
      <c r="M33" s="1257"/>
      <c r="N33" s="1344"/>
    </row>
    <row r="34" spans="2:14" x14ac:dyDescent="0.2">
      <c r="B34" s="1351" t="s">
        <v>1950</v>
      </c>
      <c r="C34" s="1352"/>
      <c r="D34" s="1353"/>
      <c r="E34" s="1354"/>
      <c r="F34" s="1354"/>
      <c r="G34" s="1354"/>
      <c r="H34" s="1354"/>
      <c r="I34" s="317"/>
      <c r="J34" s="317"/>
    </row>
    <row r="35" spans="2:14" x14ac:dyDescent="0.2">
      <c r="B35" s="1277"/>
      <c r="C35" s="1355"/>
      <c r="D35" s="1356"/>
      <c r="E35" s="1278"/>
      <c r="F35" s="1278"/>
      <c r="G35" s="317"/>
      <c r="H35" s="317"/>
      <c r="I35" s="317"/>
      <c r="J35" s="317"/>
    </row>
    <row r="36" spans="2:14" ht="13.5" customHeight="1" x14ac:dyDescent="0.2">
      <c r="B36" s="1276" t="s">
        <v>1308</v>
      </c>
      <c r="G36" s="317"/>
      <c r="H36" s="317"/>
      <c r="I36" s="317"/>
      <c r="J36" s="317"/>
    </row>
    <row r="37" spans="2:14" ht="13.5" customHeight="1" x14ac:dyDescent="0.2">
      <c r="B37" s="1359"/>
      <c r="C37" s="1360"/>
      <c r="D37" s="1361"/>
      <c r="E37" s="1297"/>
      <c r="F37" s="1297"/>
      <c r="G37" s="1297"/>
      <c r="H37" s="1297"/>
      <c r="I37" s="1297"/>
      <c r="J37" s="1297"/>
      <c r="K37" s="1362"/>
      <c r="L37" s="1362"/>
      <c r="M37" s="1297"/>
    </row>
    <row r="38" spans="2:14" ht="9.6" customHeight="1" x14ac:dyDescent="0.2">
      <c r="B38" s="1363"/>
      <c r="G38" s="317"/>
      <c r="H38" s="317"/>
      <c r="I38" s="317"/>
      <c r="J38" s="317"/>
    </row>
    <row r="39" spans="2:14" ht="11.25" customHeight="1" x14ac:dyDescent="0.2">
      <c r="B39" s="1364" t="s">
        <v>1840</v>
      </c>
      <c r="C39" s="1365"/>
      <c r="D39" s="1365"/>
      <c r="E39" s="1365"/>
      <c r="F39" s="1365"/>
      <c r="G39" s="1365"/>
      <c r="H39" s="1365"/>
      <c r="I39" s="1366"/>
      <c r="J39" s="1366"/>
      <c r="K39" s="1366"/>
      <c r="L39" s="1366"/>
      <c r="M39" s="1366"/>
    </row>
    <row r="40" spans="2:14" ht="11.25" customHeight="1" x14ac:dyDescent="0.2">
      <c r="B40" s="1367" t="s">
        <v>1666</v>
      </c>
      <c r="C40" s="1366"/>
      <c r="D40" s="1366"/>
      <c r="E40" s="1366"/>
      <c r="F40" s="1366"/>
      <c r="G40" s="1366"/>
      <c r="H40" s="1366"/>
      <c r="I40" s="1366"/>
      <c r="J40" s="1366"/>
      <c r="K40" s="1366"/>
      <c r="L40" s="1366"/>
      <c r="M40" s="1366"/>
    </row>
    <row r="41" spans="2:14" ht="3.95" customHeight="1" x14ac:dyDescent="0.2">
      <c r="B41" s="1367"/>
      <c r="C41" s="1366"/>
      <c r="D41" s="1366"/>
      <c r="E41" s="1366"/>
      <c r="F41" s="1366"/>
      <c r="G41" s="1366"/>
      <c r="H41" s="1366"/>
      <c r="I41" s="1366"/>
      <c r="J41" s="1366"/>
      <c r="K41" s="1366"/>
      <c r="L41" s="1366"/>
      <c r="M41" s="1366"/>
    </row>
    <row r="42" spans="2:14" ht="11.25" customHeight="1" x14ac:dyDescent="0.2">
      <c r="B42" s="1364" t="s">
        <v>1841</v>
      </c>
      <c r="C42" s="1366"/>
      <c r="D42" s="1366"/>
      <c r="E42" s="1366"/>
      <c r="F42" s="1366"/>
      <c r="G42" s="1366"/>
      <c r="H42" s="1366"/>
      <c r="I42" s="1366"/>
      <c r="J42" s="1366"/>
      <c r="K42" s="1366"/>
      <c r="L42" s="1366"/>
      <c r="M42" s="1366"/>
    </row>
    <row r="43" spans="2:14" ht="11.25" customHeight="1" x14ac:dyDescent="0.2">
      <c r="B43" s="1300" t="s">
        <v>1667</v>
      </c>
      <c r="C43" s="1368"/>
      <c r="D43" s="1369"/>
      <c r="E43" s="1300"/>
      <c r="F43" s="1300"/>
      <c r="G43" s="1300"/>
      <c r="H43" s="1300"/>
      <c r="I43" s="1300"/>
      <c r="J43" s="1300"/>
      <c r="K43" s="1370"/>
      <c r="L43" s="1370"/>
      <c r="M43" s="1300"/>
    </row>
    <row r="44" spans="2:14" ht="3.95" customHeight="1" x14ac:dyDescent="0.2">
      <c r="B44" s="1300"/>
      <c r="C44" s="1368"/>
      <c r="D44" s="1369"/>
      <c r="E44" s="1300"/>
      <c r="F44" s="1300"/>
      <c r="G44" s="1300"/>
      <c r="H44" s="1300"/>
      <c r="I44" s="1300"/>
      <c r="J44" s="1300"/>
      <c r="K44" s="1370"/>
      <c r="L44" s="1370"/>
      <c r="M44" s="1300"/>
    </row>
    <row r="45" spans="2:14" ht="11.25" customHeight="1" x14ac:dyDescent="0.2">
      <c r="B45" s="1371" t="s">
        <v>1842</v>
      </c>
      <c r="C45" s="1368"/>
      <c r="D45" s="1369"/>
      <c r="E45" s="1300"/>
      <c r="F45" s="1300"/>
      <c r="G45" s="1300"/>
      <c r="H45" s="1300"/>
      <c r="I45" s="1300"/>
      <c r="J45" s="1300"/>
      <c r="K45" s="1370"/>
      <c r="L45" s="1370"/>
      <c r="M45" s="1300"/>
    </row>
    <row r="46" spans="2:14" ht="3.95" customHeight="1" x14ac:dyDescent="0.2">
      <c r="B46" s="1371"/>
      <c r="C46" s="1368"/>
      <c r="D46" s="1369"/>
      <c r="E46" s="1300"/>
      <c r="F46" s="1300"/>
      <c r="G46" s="1300"/>
      <c r="H46" s="1300"/>
      <c r="I46" s="1300"/>
      <c r="J46" s="1300"/>
      <c r="K46" s="1370"/>
      <c r="L46" s="1370"/>
      <c r="M46" s="1300"/>
    </row>
    <row r="47" spans="2:14" ht="11.25" customHeight="1" x14ac:dyDescent="0.2">
      <c r="B47" s="1372" t="s">
        <v>1843</v>
      </c>
      <c r="C47" s="1368"/>
      <c r="D47" s="1369"/>
      <c r="E47" s="1300"/>
      <c r="F47" s="1300"/>
      <c r="G47" s="1300"/>
      <c r="H47" s="1300"/>
      <c r="I47" s="1300"/>
      <c r="J47" s="1300"/>
      <c r="K47" s="1370"/>
      <c r="L47" s="1370"/>
      <c r="M47" s="1300"/>
    </row>
    <row r="48" spans="2:14" ht="11.25" customHeight="1" x14ac:dyDescent="0.2">
      <c r="B48" s="1300" t="s">
        <v>1668</v>
      </c>
      <c r="G48" s="317"/>
      <c r="H48" s="317"/>
      <c r="I48" s="317"/>
      <c r="J48" s="317"/>
    </row>
    <row r="49" spans="2:13" ht="11.1" customHeight="1" x14ac:dyDescent="0.2">
      <c r="B49" s="1300"/>
      <c r="G49" s="317"/>
      <c r="H49" s="317"/>
      <c r="I49" s="317"/>
      <c r="J49" s="317"/>
    </row>
    <row r="50" spans="2:13" ht="11.1" customHeight="1" x14ac:dyDescent="0.2">
      <c r="B50" s="1300"/>
      <c r="G50" s="317"/>
      <c r="H50" s="317"/>
      <c r="I50" s="317"/>
      <c r="J50" s="317"/>
    </row>
    <row r="51" spans="2:13" ht="13.5" customHeight="1" x14ac:dyDescent="0.2">
      <c r="M51" s="1373"/>
    </row>
    <row r="52" spans="2:13" ht="13.5" customHeight="1" x14ac:dyDescent="0.2">
      <c r="M52" s="1373"/>
    </row>
    <row r="53" spans="2:13" ht="13.5" customHeight="1" x14ac:dyDescent="0.2">
      <c r="M53" s="1373"/>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c r="G60" s="317"/>
      <c r="H60" s="317"/>
      <c r="I60" s="317"/>
      <c r="J60" s="317"/>
    </row>
    <row r="61" spans="2:13" ht="13.5" customHeight="1" x14ac:dyDescent="0.2"/>
    <row r="62" spans="2:13" ht="13.5" customHeight="1" x14ac:dyDescent="0.2"/>
    <row r="63" spans="2:13" ht="13.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25.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4.7" customHeight="1" x14ac:dyDescent="0.2"/>
    <row r="114" ht="12.2"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4.7" customHeight="1" x14ac:dyDescent="0.2"/>
    <row r="154"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workbookViewId="0">
      <selection activeCell="C24" sqref="C24"/>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4" t="str">
        <f>'Single Audit Cover'!A7</f>
        <v>Exceptional Learners</v>
      </c>
      <c r="B1" s="2464"/>
      <c r="C1" s="2464"/>
      <c r="D1" s="2464"/>
      <c r="E1" s="2464"/>
      <c r="F1" s="2464"/>
    </row>
    <row r="2" spans="1:7" ht="13.5" customHeight="1" x14ac:dyDescent="0.2">
      <c r="A2" s="2452">
        <f>'Single Audit Cover'!E7</f>
        <v>34049801060</v>
      </c>
      <c r="B2" s="2452"/>
      <c r="C2" s="2452"/>
      <c r="D2" s="2452"/>
      <c r="E2" s="2452"/>
      <c r="F2" s="2452"/>
      <c r="G2" s="1275"/>
    </row>
    <row r="3" spans="1:7" ht="15.75" customHeight="1" x14ac:dyDescent="0.2">
      <c r="A3" s="2465" t="s">
        <v>1333</v>
      </c>
      <c r="B3" s="2465"/>
      <c r="C3" s="2465"/>
      <c r="D3" s="2465"/>
      <c r="E3" s="2465"/>
      <c r="F3" s="2465"/>
    </row>
    <row r="4" spans="1:7" ht="13.5" customHeight="1" x14ac:dyDescent="0.2">
      <c r="A4" s="2466" t="str">
        <f>'Single Audit Cover'!A4</f>
        <v>Year Ending June 30, 2018</v>
      </c>
      <c r="B4" s="2466"/>
      <c r="C4" s="2466"/>
      <c r="D4" s="2466"/>
      <c r="E4" s="2466"/>
      <c r="F4" s="2466"/>
    </row>
    <row r="5" spans="1:7" ht="8.25" customHeight="1" x14ac:dyDescent="0.2">
      <c r="C5" s="317"/>
      <c r="D5" s="317"/>
    </row>
    <row r="6" spans="1:7" ht="13.5" customHeight="1" x14ac:dyDescent="0.2">
      <c r="A6" s="1276" t="s">
        <v>1831</v>
      </c>
      <c r="C6" s="317"/>
      <c r="D6" s="317"/>
    </row>
    <row r="7" spans="1:7" ht="60.95" customHeight="1" x14ac:dyDescent="0.2">
      <c r="A7" s="2463" t="s">
        <v>2114</v>
      </c>
      <c r="B7" s="2463"/>
      <c r="C7" s="2463"/>
      <c r="D7" s="2463"/>
      <c r="E7" s="2463"/>
      <c r="F7" s="2463"/>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2076</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3" t="s">
        <v>1833</v>
      </c>
      <c r="B13" s="2463"/>
      <c r="C13" s="2463"/>
      <c r="D13" s="2463"/>
      <c r="E13" s="2463"/>
      <c r="F13" s="2463"/>
    </row>
    <row r="14" spans="1:7" ht="9.75" customHeight="1" x14ac:dyDescent="0.2">
      <c r="C14" s="1260"/>
      <c r="D14" s="1260"/>
    </row>
    <row r="15" spans="1:7" ht="13.5" customHeight="1" x14ac:dyDescent="0.2">
      <c r="C15" s="1871" t="s">
        <v>1332</v>
      </c>
      <c r="D15" s="2461" t="s">
        <v>1331</v>
      </c>
      <c r="E15" s="2461"/>
      <c r="F15" s="2461"/>
    </row>
    <row r="16" spans="1:7" ht="13.5" customHeight="1" x14ac:dyDescent="0.2">
      <c r="A16" s="1282"/>
      <c r="B16" s="1276" t="s">
        <v>1330</v>
      </c>
      <c r="C16" s="1871" t="s">
        <v>1329</v>
      </c>
      <c r="D16" s="2462" t="s">
        <v>1670</v>
      </c>
      <c r="E16" s="2462"/>
      <c r="F16" s="2462"/>
    </row>
    <row r="17" spans="1:6" ht="20.45" customHeight="1" x14ac:dyDescent="0.2">
      <c r="A17" s="1283"/>
      <c r="B17" s="1284" t="s">
        <v>2115</v>
      </c>
      <c r="C17" s="1285" t="s">
        <v>2106</v>
      </c>
      <c r="D17" s="2456">
        <v>463050</v>
      </c>
      <c r="E17" s="2456"/>
      <c r="F17" s="2456"/>
    </row>
    <row r="18" spans="1:6" ht="20.65" customHeight="1" x14ac:dyDescent="0.2">
      <c r="A18" s="1283"/>
      <c r="B18" s="1284" t="s">
        <v>2116</v>
      </c>
      <c r="C18" s="1285" t="s">
        <v>2106</v>
      </c>
      <c r="D18" s="2456">
        <v>497323</v>
      </c>
      <c r="E18" s="2456"/>
      <c r="F18" s="2456"/>
    </row>
    <row r="19" spans="1:6" ht="20.65" customHeight="1" x14ac:dyDescent="0.2">
      <c r="A19" s="1283"/>
      <c r="B19" s="1284" t="s">
        <v>2117</v>
      </c>
      <c r="C19" s="1285" t="s">
        <v>2106</v>
      </c>
      <c r="D19" s="2456">
        <v>241216</v>
      </c>
      <c r="E19" s="2456"/>
      <c r="F19" s="2456"/>
    </row>
    <row r="20" spans="1:6" ht="20.65" customHeight="1" x14ac:dyDescent="0.2">
      <c r="A20" s="1283"/>
      <c r="B20" s="1284" t="s">
        <v>2118</v>
      </c>
      <c r="C20" s="1285" t="s">
        <v>2106</v>
      </c>
      <c r="D20" s="2456">
        <v>132240</v>
      </c>
      <c r="E20" s="2456"/>
      <c r="F20" s="2456"/>
    </row>
    <row r="21" spans="1:6" ht="20.65" customHeight="1" x14ac:dyDescent="0.2">
      <c r="A21" s="1283"/>
      <c r="B21" s="1284" t="s">
        <v>2119</v>
      </c>
      <c r="C21" s="1285" t="s">
        <v>2105</v>
      </c>
      <c r="D21" s="2456">
        <v>15159</v>
      </c>
      <c r="E21" s="2456"/>
      <c r="F21" s="2456"/>
    </row>
    <row r="22" spans="1:6" ht="20.65" customHeight="1" x14ac:dyDescent="0.2">
      <c r="A22" s="1283"/>
      <c r="B22" s="1284" t="s">
        <v>2120</v>
      </c>
      <c r="C22" s="1285" t="s">
        <v>2105</v>
      </c>
      <c r="D22" s="2456">
        <v>5980</v>
      </c>
      <c r="E22" s="2456"/>
      <c r="F22" s="2456"/>
    </row>
    <row r="23" spans="1:6" ht="20.65" customHeight="1" x14ac:dyDescent="0.2">
      <c r="A23" s="1283"/>
      <c r="B23" s="1284" t="s">
        <v>2121</v>
      </c>
      <c r="C23" s="1285" t="s">
        <v>2105</v>
      </c>
      <c r="D23" s="2456">
        <v>5431</v>
      </c>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57" t="s">
        <v>1834</v>
      </c>
      <c r="B32" s="2457"/>
      <c r="C32" s="2457"/>
      <c r="D32" s="2457"/>
      <c r="E32" s="2457"/>
      <c r="F32" s="2457"/>
    </row>
    <row r="33" spans="1:6" ht="13.5" customHeight="1" x14ac:dyDescent="0.2">
      <c r="A33" s="328" t="s">
        <v>1509</v>
      </c>
      <c r="B33" s="328"/>
      <c r="C33" s="1288">
        <v>0</v>
      </c>
      <c r="D33" s="1928"/>
      <c r="E33" s="1286"/>
    </row>
    <row r="34" spans="1:6" ht="13.5" customHeight="1" x14ac:dyDescent="0.2">
      <c r="A34" s="328" t="s">
        <v>1948</v>
      </c>
      <c r="B34" s="328"/>
      <c r="C34" s="1289">
        <v>0</v>
      </c>
      <c r="D34" s="1928" t="s">
        <v>1671</v>
      </c>
      <c r="E34" s="2458">
        <f>+C33+C34</f>
        <v>0</v>
      </c>
      <c r="F34" s="245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401</v>
      </c>
      <c r="D38" s="1928"/>
      <c r="E38" s="1286"/>
    </row>
    <row r="39" spans="1:6" ht="14.25" customHeight="1" x14ac:dyDescent="0.2">
      <c r="A39" s="328"/>
      <c r="B39" s="328" t="s">
        <v>1511</v>
      </c>
      <c r="C39" s="1292" t="s">
        <v>401</v>
      </c>
      <c r="D39" s="1928"/>
      <c r="E39" s="1286"/>
    </row>
    <row r="40" spans="1:6" ht="14.25" customHeight="1" x14ac:dyDescent="0.2">
      <c r="A40" s="328"/>
      <c r="B40" s="328" t="s">
        <v>1512</v>
      </c>
      <c r="C40" s="1292" t="s">
        <v>401</v>
      </c>
      <c r="D40" s="1928"/>
      <c r="E40" s="1286"/>
    </row>
    <row r="41" spans="1:6" ht="14.25" customHeight="1" x14ac:dyDescent="0.2">
      <c r="A41" s="328"/>
      <c r="B41" s="328" t="s">
        <v>1513</v>
      </c>
      <c r="C41" s="1292" t="s">
        <v>401</v>
      </c>
      <c r="D41" s="1928"/>
      <c r="E41" s="1286"/>
    </row>
    <row r="42" spans="1:6" ht="14.25" customHeight="1" x14ac:dyDescent="0.2">
      <c r="A42" s="328" t="s">
        <v>1514</v>
      </c>
      <c r="B42" s="328"/>
      <c r="C42" s="1926" t="s">
        <v>401</v>
      </c>
      <c r="D42" s="1928"/>
      <c r="E42" s="1286"/>
    </row>
    <row r="43" spans="1:6" ht="14.25" customHeight="1" x14ac:dyDescent="0.2">
      <c r="A43" s="328" t="s">
        <v>1515</v>
      </c>
      <c r="B43" s="328"/>
      <c r="C43" s="1293" t="s">
        <v>401</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1835</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0" t="s">
        <v>1672</v>
      </c>
      <c r="C49" s="2460"/>
      <c r="D49" s="2460"/>
      <c r="E49" s="1399"/>
    </row>
    <row r="50" spans="1:5" s="1300" customFormat="1" ht="3.75" customHeight="1" x14ac:dyDescent="0.2">
      <c r="A50" s="1299"/>
      <c r="B50" s="1870"/>
      <c r="C50" s="1870"/>
      <c r="D50" s="1870"/>
      <c r="E50" s="1399"/>
    </row>
    <row r="51" spans="1:5" s="1300" customFormat="1" ht="20.25" customHeight="1" x14ac:dyDescent="0.2">
      <c r="A51" s="1301">
        <v>6</v>
      </c>
      <c r="B51" s="2455" t="s">
        <v>1632</v>
      </c>
      <c r="C51" s="2455"/>
      <c r="D51" s="2455"/>
    </row>
    <row r="52" spans="1:5" ht="14.25" customHeight="1" x14ac:dyDescent="0.2">
      <c r="A52" s="1301"/>
      <c r="B52" s="2455"/>
      <c r="C52" s="2455"/>
      <c r="D52" s="245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1895</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1894</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2070</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2069</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topLeftCell="A4" workbookViewId="0">
      <selection activeCell="D46" sqref="D46"/>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Exceptional Learners</v>
      </c>
      <c r="C1" s="2479"/>
      <c r="D1" s="2479"/>
      <c r="E1" s="2479"/>
      <c r="F1" s="2479"/>
      <c r="G1" s="2479"/>
      <c r="H1" s="2479"/>
      <c r="I1" s="2479"/>
      <c r="J1" s="1422"/>
    </row>
    <row r="2" spans="2:10" s="317" customFormat="1" ht="12.75" customHeight="1" x14ac:dyDescent="0.2">
      <c r="B2" s="2480">
        <f>'Single Audit Cover'!E7</f>
        <v>34049801060</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t="s">
        <v>1226</v>
      </c>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2076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2076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2076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2076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2076</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t="s">
        <v>2122</v>
      </c>
      <c r="E29" s="2485"/>
      <c r="F29" s="2485"/>
      <c r="G29" s="2485"/>
      <c r="H29" s="2485"/>
      <c r="I29" s="2485"/>
    </row>
    <row r="30" spans="2:9" s="317" customFormat="1" x14ac:dyDescent="0.2">
      <c r="B30" s="1368"/>
      <c r="C30" s="322"/>
      <c r="D30" s="1433" t="s">
        <v>1850</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2076</v>
      </c>
      <c r="H33" s="1300" t="s">
        <v>101</v>
      </c>
    </row>
    <row r="35" spans="2:9" x14ac:dyDescent="0.2">
      <c r="B35" s="1441" t="s">
        <v>1851</v>
      </c>
      <c r="C35" s="1442"/>
      <c r="D35" s="1267"/>
    </row>
    <row r="36" spans="2:9" ht="6" customHeight="1" x14ac:dyDescent="0.2">
      <c r="B36" s="1441"/>
      <c r="C36" s="1442"/>
      <c r="D36" s="1267"/>
    </row>
    <row r="37" spans="2:9" ht="17.25" customHeight="1" x14ac:dyDescent="0.2">
      <c r="B37" s="1443" t="s">
        <v>1852</v>
      </c>
      <c r="C37" s="2486" t="s">
        <v>1853</v>
      </c>
      <c r="D37" s="2487"/>
      <c r="E37" s="2487"/>
      <c r="F37" s="2488"/>
      <c r="G37" s="2486" t="s">
        <v>1674</v>
      </c>
      <c r="H37" s="2487"/>
      <c r="I37" s="2488"/>
    </row>
    <row r="38" spans="2:9" ht="16.5" customHeight="1" x14ac:dyDescent="0.2">
      <c r="B38" s="1444" t="s">
        <v>2105</v>
      </c>
      <c r="C38" s="2474" t="s">
        <v>2124</v>
      </c>
      <c r="D38" s="2475"/>
      <c r="E38" s="2475"/>
      <c r="F38" s="2476"/>
      <c r="G38" s="2489">
        <v>40813</v>
      </c>
      <c r="H38" s="2490"/>
      <c r="I38" s="2491"/>
    </row>
    <row r="39" spans="2:9" ht="16.5" customHeight="1" x14ac:dyDescent="0.2">
      <c r="B39" s="1444" t="s">
        <v>2106</v>
      </c>
      <c r="C39" s="2474" t="s">
        <v>2123</v>
      </c>
      <c r="D39" s="2475"/>
      <c r="E39" s="2475"/>
      <c r="F39" s="2476"/>
      <c r="G39" s="2477">
        <v>1966074</v>
      </c>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2006887</v>
      </c>
      <c r="H43" s="2470"/>
      <c r="I43" s="2470"/>
    </row>
    <row r="44" spans="2:9" ht="12.75" customHeight="1" x14ac:dyDescent="0.2"/>
    <row r="45" spans="2:9" ht="12.75" customHeight="1" x14ac:dyDescent="0.2">
      <c r="B45" s="1435" t="s">
        <v>1951</v>
      </c>
      <c r="D45" s="2471">
        <v>2006887</v>
      </c>
      <c r="E45" s="2472"/>
    </row>
    <row r="46" spans="2:9" ht="5.25" customHeight="1" x14ac:dyDescent="0.2">
      <c r="B46" s="1445"/>
      <c r="D46" s="1446"/>
      <c r="E46" s="1447"/>
    </row>
    <row r="47" spans="2:9" ht="12.75" customHeight="1" x14ac:dyDescent="0.2">
      <c r="B47" s="1300" t="s">
        <v>1676</v>
      </c>
      <c r="C47" s="1300"/>
      <c r="D47" s="1448">
        <f>+G43/D45</f>
        <v>1</v>
      </c>
      <c r="E47" s="1449"/>
      <c r="F47" s="1450"/>
      <c r="I47" s="1451"/>
    </row>
    <row r="48" spans="2:9" ht="9.9499999999999993" customHeight="1" x14ac:dyDescent="0.2"/>
    <row r="49" spans="1:9" x14ac:dyDescent="0.2">
      <c r="B49" s="1368" t="s">
        <v>1335</v>
      </c>
      <c r="C49" s="1282"/>
      <c r="D49" s="1282"/>
      <c r="E49" s="2473">
        <v>750000</v>
      </c>
      <c r="F49" s="2473"/>
      <c r="G49" s="2473"/>
      <c r="H49" s="322"/>
    </row>
    <row r="51" spans="1:9" ht="13.5" customHeight="1" x14ac:dyDescent="0.2">
      <c r="B51" s="1368" t="s">
        <v>1334</v>
      </c>
      <c r="C51" s="1282"/>
      <c r="E51" s="1438"/>
      <c r="F51" s="1300" t="s">
        <v>940</v>
      </c>
      <c r="G51" s="1438" t="s">
        <v>2076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1854</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1855</v>
      </c>
      <c r="C58" s="1464"/>
      <c r="D58" s="1464"/>
    </row>
    <row r="59" spans="1:9" s="1461" customFormat="1" ht="3.95" customHeight="1" x14ac:dyDescent="0.2">
      <c r="A59" s="1458"/>
      <c r="B59" s="1463"/>
      <c r="C59" s="1464"/>
      <c r="D59" s="1464"/>
    </row>
    <row r="60" spans="1:9" s="1461" customFormat="1" ht="13.5" customHeight="1" x14ac:dyDescent="0.2">
      <c r="A60" s="1458"/>
      <c r="B60" s="1463" t="s">
        <v>1856</v>
      </c>
      <c r="C60" s="1464"/>
      <c r="D60" s="1464"/>
    </row>
    <row r="61" spans="1:9" s="1461" customFormat="1" ht="3.95" customHeight="1" x14ac:dyDescent="0.2">
      <c r="A61" s="1458"/>
      <c r="B61" s="1463"/>
      <c r="C61" s="1464"/>
      <c r="D61" s="1464"/>
    </row>
    <row r="62" spans="1:9" s="1461" customFormat="1" ht="12.75" customHeight="1" x14ac:dyDescent="0.2">
      <c r="A62" s="1458"/>
      <c r="B62" s="1463" t="s">
        <v>1857</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workbookViewId="0">
      <selection activeCell="D10" sqref="D10"/>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Exceptional Learners</v>
      </c>
      <c r="C1" s="2478"/>
      <c r="D1" s="2478"/>
      <c r="E1" s="2478"/>
      <c r="F1" s="2478"/>
      <c r="G1" s="2478"/>
      <c r="H1" s="2478"/>
      <c r="I1" s="2478"/>
      <c r="J1" s="2478"/>
      <c r="K1" s="2478"/>
      <c r="L1" s="1374"/>
      <c r="M1" s="1374"/>
    </row>
    <row r="2" spans="1:13" ht="12" customHeight="1" x14ac:dyDescent="0.2">
      <c r="B2" s="2480">
        <f>'Single Audit Cover'!E7</f>
        <v>34049801060</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1844</v>
      </c>
      <c r="C10" s="1385" t="s">
        <v>1952</v>
      </c>
      <c r="D10" s="1386" t="s">
        <v>2125</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1845</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1846</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1847</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1848</v>
      </c>
      <c r="C38" s="1420"/>
    </row>
    <row r="39" spans="1:13" ht="9.6" customHeight="1" x14ac:dyDescent="0.2">
      <c r="B39" s="1300" t="s">
        <v>1348</v>
      </c>
      <c r="C39" s="1300"/>
      <c r="M39" s="1421"/>
    </row>
    <row r="40" spans="1:13" ht="12.6" customHeight="1" x14ac:dyDescent="0.2">
      <c r="B40" s="1420" t="s">
        <v>1849</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selection activeCell="D8" sqref="D8"/>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Exceptional Learners</v>
      </c>
      <c r="C1" s="2501"/>
      <c r="D1" s="2501"/>
      <c r="E1" s="2501"/>
      <c r="F1" s="2501"/>
      <c r="G1" s="2501"/>
      <c r="H1" s="2501"/>
      <c r="I1" s="2501"/>
      <c r="J1" s="2501"/>
      <c r="K1" s="2501"/>
      <c r="L1" s="1465"/>
    </row>
    <row r="2" spans="1:12" ht="12.75" customHeight="1" x14ac:dyDescent="0.2">
      <c r="B2" s="2502">
        <f>'Single Audit Cover'!E7</f>
        <v>34049801060</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1858</v>
      </c>
      <c r="C8" s="1467" t="s">
        <v>1952</v>
      </c>
      <c r="D8" s="1468" t="s">
        <v>2125</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1859</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1860</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1861</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1862</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1863</v>
      </c>
      <c r="C48" s="1419"/>
      <c r="D48" s="322"/>
      <c r="E48" s="322"/>
      <c r="F48" s="322"/>
    </row>
    <row r="49" spans="2:3" s="317" customFormat="1" ht="10.5" customHeight="1" x14ac:dyDescent="0.2">
      <c r="B49" s="1420" t="s">
        <v>1864</v>
      </c>
      <c r="C49" s="1420"/>
    </row>
    <row r="50" spans="2:3" s="317" customFormat="1" ht="11.1" customHeight="1" x14ac:dyDescent="0.2">
      <c r="B50" s="1420" t="s">
        <v>1865</v>
      </c>
      <c r="C50" s="1420"/>
    </row>
    <row r="51" spans="2:3" s="317" customFormat="1" ht="11.1" customHeight="1" x14ac:dyDescent="0.2">
      <c r="B51" s="1420" t="s">
        <v>1866</v>
      </c>
      <c r="C51" s="1420"/>
    </row>
    <row r="52" spans="2:3" s="317" customFormat="1" ht="11.1" customHeight="1" x14ac:dyDescent="0.2">
      <c r="B52" s="1420" t="s">
        <v>1867</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workbookViewId="0">
      <selection activeCell="E34" sqref="E3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Exceptional Learners</v>
      </c>
      <c r="C1" s="2478"/>
      <c r="D1" s="2478"/>
      <c r="E1" s="1491"/>
    </row>
    <row r="2" spans="2:5" s="1282" customFormat="1" ht="12.75" customHeight="1" x14ac:dyDescent="0.2">
      <c r="B2" s="2480">
        <f>'Single Audit Cover'!E7</f>
        <v>34049801060</v>
      </c>
      <c r="C2" s="2480"/>
      <c r="D2" s="2480"/>
      <c r="E2" s="1492"/>
    </row>
    <row r="3" spans="2:5" ht="12.75" customHeight="1" x14ac:dyDescent="0.2">
      <c r="B3" s="2494" t="s">
        <v>1868</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1869</v>
      </c>
      <c r="C5" s="328"/>
      <c r="D5" s="328"/>
      <c r="E5" s="328"/>
    </row>
    <row r="6" spans="2:5" s="1282" customFormat="1" ht="13.5" customHeight="1" x14ac:dyDescent="0.2">
      <c r="B6" s="1495" t="s">
        <v>1382</v>
      </c>
      <c r="C6" s="1495" t="s">
        <v>1381</v>
      </c>
      <c r="D6" s="1495" t="s">
        <v>1870</v>
      </c>
    </row>
    <row r="7" spans="2:5" ht="13.5" customHeight="1" x14ac:dyDescent="0.2">
      <c r="B7" s="1496"/>
      <c r="C7" s="324"/>
      <c r="D7" s="324"/>
      <c r="E7" s="324"/>
    </row>
    <row r="8" spans="2:5" ht="13.5" customHeight="1" x14ac:dyDescent="0.2">
      <c r="B8" s="1496" t="s">
        <v>2125</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1871</v>
      </c>
    </row>
    <row r="46" spans="2:5" ht="12.2" customHeight="1" x14ac:dyDescent="0.2">
      <c r="B46" s="1505" t="s">
        <v>1872</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c r="E10" s="356" t="s">
        <v>1062</v>
      </c>
      <c r="F10" s="355"/>
      <c r="G10" s="356" t="s">
        <v>1062</v>
      </c>
      <c r="H10" s="355"/>
      <c r="I10" s="356" t="s">
        <v>1063</v>
      </c>
      <c r="J10" s="1754">
        <f>ROUND(D10+F10+H10,5)</f>
        <v>0</v>
      </c>
      <c r="K10" s="222"/>
      <c r="L10" s="355"/>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4299565</v>
      </c>
      <c r="E16" s="356"/>
      <c r="F16" s="1755">
        <f>SUM('Acct Summary 7-8'!C17,'Acct Summary 7-8'!D17,'Acct Summary 7-8'!F17)</f>
        <v>4188609</v>
      </c>
      <c r="G16" s="356"/>
      <c r="H16" s="1755">
        <f>SUM(D16-F16)</f>
        <v>110956</v>
      </c>
      <c r="I16" s="222"/>
      <c r="J16" s="1755">
        <f>SUM('Acct Summary 7-8'!C81,'Acct Summary 7-8'!D81,'Acct Summary 7-8'!F81,'Acct Summary 7-8'!I81)</f>
        <v>979953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t="str">
        <f>IF(B31="X",(J7*0.069),IF(B32="X",(J7*0.138),"Enter x in a.or b."))</f>
        <v>Enter x in a.or b.</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Exceptional Learners</v>
      </c>
      <c r="E7" s="391"/>
      <c r="G7" s="252"/>
      <c r="H7" s="387"/>
      <c r="I7" s="387"/>
      <c r="J7" s="387"/>
      <c r="K7" s="387"/>
      <c r="L7" s="329"/>
      <c r="M7" s="329"/>
      <c r="N7" s="329"/>
      <c r="O7" s="329"/>
      <c r="P7" s="329"/>
    </row>
    <row r="8" spans="1:18" ht="12.75" x14ac:dyDescent="0.2">
      <c r="A8" s="329"/>
      <c r="B8" s="329"/>
      <c r="C8" s="389" t="s">
        <v>1187</v>
      </c>
      <c r="D8" s="392">
        <f>COVER!A13</f>
        <v>34049801060</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979953</v>
      </c>
      <c r="I12" s="404"/>
      <c r="J12" s="404"/>
      <c r="K12" s="405">
        <f>TRUNC((H12/H13*100000),5)/100000</f>
        <v>0.22791910339999999</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4299565</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4188609</v>
      </c>
      <c r="I17" s="404"/>
      <c r="J17" s="416"/>
      <c r="K17" s="405">
        <f>TRUNC((H17/H18*100000),5)/100000</f>
        <v>0.97419366839999999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4299565</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2</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988979</v>
      </c>
      <c r="I24" s="422"/>
      <c r="J24" s="422"/>
      <c r="K24" s="423">
        <f>TRUNC(((H24/H25*100000)/100000),2)</f>
        <v>85</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11635.025</v>
      </c>
      <c r="I25" s="425"/>
      <c r="J25" s="425"/>
      <c r="K25" s="410"/>
      <c r="L25" s="218"/>
      <c r="M25" s="360" t="s">
        <v>1207</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e">
        <f>IF(K28&gt;=75,"4",IF(K28&gt;=50,"3",IF(K28&gt;=25,"2",1)))</f>
        <v>#DIV/0!</v>
      </c>
      <c r="P27" s="216"/>
    </row>
    <row r="28" spans="1:18" s="408" customFormat="1" ht="11.25" x14ac:dyDescent="0.2">
      <c r="A28" s="218"/>
      <c r="B28" s="401"/>
      <c r="C28" s="218" t="s">
        <v>2071</v>
      </c>
      <c r="D28" s="218"/>
      <c r="E28" s="218"/>
      <c r="F28" s="218" t="s">
        <v>464</v>
      </c>
      <c r="G28" s="402"/>
      <c r="H28" s="427">
        <f>SUM('Short-Term Long-Term Debt 24'!F6,'Short-Term Long-Term Debt 24'!F7,'Short-Term Long-Term Debt 24'!F11)</f>
        <v>0</v>
      </c>
      <c r="I28" s="428"/>
      <c r="J28" s="428"/>
      <c r="K28" s="423" t="e">
        <f>TRUNC(100-((((H28/H29*100))*100)/100),2)</f>
        <v>#DIV/0!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0</v>
      </c>
      <c r="I29" s="428"/>
      <c r="J29" s="428"/>
      <c r="K29" s="410"/>
      <c r="L29" s="218"/>
      <c r="M29" s="360" t="s">
        <v>1207</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e">
        <f>IF(K32&gt;=75,"4",IF(K32&gt;=50,"3",IF(K32&gt;=25,"2",1)))</f>
        <v>#VALUE!</v>
      </c>
      <c r="P31" s="216"/>
    </row>
    <row r="32" spans="1:18" s="408" customFormat="1" ht="11.25" x14ac:dyDescent="0.2">
      <c r="A32" s="218"/>
      <c r="B32" s="401"/>
      <c r="C32" s="218" t="s">
        <v>902</v>
      </c>
      <c r="D32" s="218"/>
      <c r="E32" s="218"/>
      <c r="F32" s="218"/>
      <c r="G32" s="402"/>
      <c r="H32" s="403">
        <f>'FP Info 3'!H37</f>
        <v>0</v>
      </c>
      <c r="I32" s="420"/>
      <c r="J32" s="420"/>
      <c r="K32" s="423" t="e">
        <f>TRUNC(100-((((H32/H33*100))*100)/100),2)</f>
        <v>#VALUE!</v>
      </c>
      <c r="L32" s="406"/>
      <c r="M32" s="360" t="s">
        <v>1206</v>
      </c>
      <c r="N32" s="360"/>
      <c r="O32" s="434">
        <v>0.1</v>
      </c>
    </row>
    <row r="33" spans="1:17" s="408" customFormat="1" ht="11.25" x14ac:dyDescent="0.2">
      <c r="A33" s="218"/>
      <c r="B33" s="401"/>
      <c r="C33" s="218" t="s">
        <v>832</v>
      </c>
      <c r="D33" s="218"/>
      <c r="E33" s="218"/>
      <c r="F33" s="218"/>
      <c r="G33" s="402"/>
      <c r="H33" s="403" t="str">
        <f>IF('FP Info 3'!H31="Enter X in a or b"," ",'FP Info 3'!H31)</f>
        <v>Enter x in a.or b.</v>
      </c>
      <c r="I33" s="420"/>
      <c r="J33" s="420"/>
      <c r="K33" s="403"/>
      <c r="L33" s="218"/>
      <c r="M33" s="435" t="s">
        <v>1207</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t="e">
        <f>(O13+O20+O25+O29+O33)</f>
        <v>#DIV/0!</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zoomScale="85" zoomScaleNormal="85" workbookViewId="0">
      <selection activeCell="E48" sqref="E4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839391</v>
      </c>
      <c r="D4" s="466">
        <v>149588</v>
      </c>
      <c r="E4" s="466"/>
      <c r="F4" s="466"/>
      <c r="G4" s="466">
        <v>131141</v>
      </c>
      <c r="H4" s="466"/>
      <c r="I4" s="466"/>
      <c r="J4" s="467"/>
      <c r="K4" s="466"/>
      <c r="L4" s="466"/>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839391</v>
      </c>
      <c r="D13" s="1759">
        <f t="shared" ref="D13:L13" si="0">SUM(D4:D12)</f>
        <v>149588</v>
      </c>
      <c r="E13" s="1759">
        <f t="shared" si="0"/>
        <v>0</v>
      </c>
      <c r="F13" s="1759">
        <f t="shared" si="0"/>
        <v>0</v>
      </c>
      <c r="G13" s="1759">
        <f t="shared" si="0"/>
        <v>131141</v>
      </c>
      <c r="H13" s="1759">
        <f t="shared" si="0"/>
        <v>0</v>
      </c>
      <c r="I13" s="1759">
        <f t="shared" si="0"/>
        <v>0</v>
      </c>
      <c r="J13" s="1759">
        <f t="shared" si="0"/>
        <v>0</v>
      </c>
      <c r="K13" s="1759">
        <f t="shared" si="0"/>
        <v>0</v>
      </c>
      <c r="L13" s="1759">
        <f t="shared" si="0"/>
        <v>0</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267439</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267439</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9026</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c r="M33" s="468"/>
      <c r="N33" s="469"/>
    </row>
    <row r="34" spans="1:14" ht="13.5" customHeight="1" thickBot="1" x14ac:dyDescent="0.25">
      <c r="A34" s="1760" t="s">
        <v>675</v>
      </c>
      <c r="B34" s="1761"/>
      <c r="C34" s="1762">
        <f>SUM(C25:C33)</f>
        <v>9026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0</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830365</v>
      </c>
      <c r="D39" s="466">
        <v>149588</v>
      </c>
      <c r="E39" s="466"/>
      <c r="F39" s="466"/>
      <c r="G39" s="466">
        <v>131141</v>
      </c>
      <c r="H39" s="466"/>
      <c r="I39" s="466"/>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267439</v>
      </c>
      <c r="N40" s="497"/>
    </row>
    <row r="41" spans="1:14" ht="13.5" customHeight="1" thickBot="1" x14ac:dyDescent="0.25">
      <c r="A41" s="1758" t="s">
        <v>676</v>
      </c>
      <c r="B41" s="1728"/>
      <c r="C41" s="1710">
        <f>(SUM(C34,C37,C38,C39))</f>
        <v>839391</v>
      </c>
      <c r="D41" s="1710">
        <f t="shared" ref="D41:L41" si="2">SUM(D34,D37,D38:D39)</f>
        <v>149588</v>
      </c>
      <c r="E41" s="1710">
        <f t="shared" si="2"/>
        <v>0</v>
      </c>
      <c r="F41" s="1710">
        <f t="shared" si="2"/>
        <v>0</v>
      </c>
      <c r="G41" s="1710">
        <f t="shared" si="2"/>
        <v>131141</v>
      </c>
      <c r="H41" s="1710">
        <f t="shared" si="2"/>
        <v>0</v>
      </c>
      <c r="I41" s="1710">
        <f t="shared" si="2"/>
        <v>0</v>
      </c>
      <c r="J41" s="1710">
        <f t="shared" si="2"/>
        <v>0</v>
      </c>
      <c r="K41" s="1710">
        <f t="shared" si="2"/>
        <v>0</v>
      </c>
      <c r="L41" s="1710">
        <f t="shared" si="2"/>
        <v>0</v>
      </c>
      <c r="M41" s="1710">
        <f>SUM(M40)</f>
        <v>267439</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zoomScaleNormal="100" workbookViewId="0">
      <selection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4" t="s">
        <v>1579</v>
      </c>
      <c r="B4" s="1955">
        <v>1000</v>
      </c>
      <c r="C4" s="1764">
        <f>'Revenues 9-14'!C109</f>
        <v>1901733</v>
      </c>
      <c r="D4" s="1764">
        <f>'Revenues 9-14'!D109</f>
        <v>200000</v>
      </c>
      <c r="E4" s="1764">
        <f>'Revenues 9-14'!E109</f>
        <v>0</v>
      </c>
      <c r="F4" s="1764">
        <f>'Revenues 9-14'!F109</f>
        <v>0</v>
      </c>
      <c r="G4" s="1764">
        <f>'Revenues 9-14'!G109</f>
        <v>200000</v>
      </c>
      <c r="H4" s="1764">
        <f>'Revenues 9-14'!H109</f>
        <v>0</v>
      </c>
      <c r="I4" s="1764">
        <f>'Revenues 9-14'!I109</f>
        <v>0</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143303</v>
      </c>
      <c r="D6" s="1765">
        <f>'Revenues 9-14'!D173</f>
        <v>0</v>
      </c>
      <c r="E6" s="1765">
        <f>'Revenues 9-14'!E173</f>
        <v>0</v>
      </c>
      <c r="F6" s="1765">
        <f>'Revenues 9-14'!F173</f>
        <v>0</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2054529</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4099565</v>
      </c>
      <c r="D8" s="1710">
        <f t="shared" ref="D8:K8" si="0">SUM(D4:D7)</f>
        <v>200000</v>
      </c>
      <c r="E8" s="1710">
        <f t="shared" si="0"/>
        <v>0</v>
      </c>
      <c r="F8" s="1710">
        <f t="shared" si="0"/>
        <v>0</v>
      </c>
      <c r="G8" s="1710">
        <f t="shared" si="0"/>
        <v>200000</v>
      </c>
      <c r="H8" s="1710">
        <f t="shared" si="0"/>
        <v>0</v>
      </c>
      <c r="I8" s="1710">
        <f t="shared" si="0"/>
        <v>0</v>
      </c>
      <c r="J8" s="1710">
        <f t="shared" si="0"/>
        <v>0</v>
      </c>
      <c r="K8" s="1710">
        <f t="shared" si="0"/>
        <v>0</v>
      </c>
      <c r="L8" s="347"/>
    </row>
    <row r="9" spans="1:13" ht="15.75" thickTop="1" x14ac:dyDescent="0.2">
      <c r="A9" s="514" t="s">
        <v>1752</v>
      </c>
      <c r="B9" s="515">
        <v>3998</v>
      </c>
      <c r="C9" s="481">
        <v>1057586</v>
      </c>
      <c r="D9" s="516"/>
      <c r="E9" s="481"/>
      <c r="F9" s="481"/>
      <c r="G9" s="517"/>
      <c r="H9" s="481"/>
      <c r="I9" s="509" t="s">
        <v>1231</v>
      </c>
      <c r="J9" s="478"/>
      <c r="K9" s="481"/>
      <c r="L9" s="347"/>
    </row>
    <row r="10" spans="1:13" s="519" customFormat="1" ht="13.5" thickBot="1" x14ac:dyDescent="0.25">
      <c r="A10" s="1758" t="s">
        <v>1235</v>
      </c>
      <c r="B10" s="1731"/>
      <c r="C10" s="1710">
        <f>SUM(C8:C9)</f>
        <v>5157151</v>
      </c>
      <c r="D10" s="1710">
        <f t="shared" ref="D10:K10" si="1">SUM(D8:D9)</f>
        <v>200000</v>
      </c>
      <c r="E10" s="1710">
        <f t="shared" si="1"/>
        <v>0</v>
      </c>
      <c r="F10" s="1710">
        <f t="shared" si="1"/>
        <v>0</v>
      </c>
      <c r="G10" s="1710">
        <f t="shared" si="1"/>
        <v>200000</v>
      </c>
      <c r="H10" s="1710">
        <f t="shared" si="1"/>
        <v>0</v>
      </c>
      <c r="I10" s="1710">
        <f t="shared" si="1"/>
        <v>0</v>
      </c>
      <c r="J10" s="1710">
        <f t="shared" si="1"/>
        <v>0</v>
      </c>
      <c r="K10" s="1710">
        <f t="shared" si="1"/>
        <v>0</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918370</v>
      </c>
      <c r="D12" s="520" t="s">
        <v>1231</v>
      </c>
      <c r="E12" s="468" t="s">
        <v>1231</v>
      </c>
      <c r="F12" s="468" t="s">
        <v>1231</v>
      </c>
      <c r="G12" s="1764">
        <f>'Expenditures 15-22'!K229</f>
        <v>38138</v>
      </c>
      <c r="H12" s="521"/>
      <c r="I12" s="468" t="s">
        <v>1231</v>
      </c>
      <c r="J12" s="468" t="s">
        <v>1231</v>
      </c>
      <c r="K12" s="521" t="s">
        <v>1231</v>
      </c>
      <c r="L12" s="347"/>
    </row>
    <row r="13" spans="1:13" ht="15.75" customHeight="1" x14ac:dyDescent="0.2">
      <c r="A13" s="1598" t="s">
        <v>477</v>
      </c>
      <c r="B13" s="1600">
        <v>2000</v>
      </c>
      <c r="C13" s="1765">
        <f>'Expenditures 15-22'!K74</f>
        <v>1734755</v>
      </c>
      <c r="D13" s="1765">
        <f>'Expenditures 15-22'!K129</f>
        <v>145566</v>
      </c>
      <c r="E13" s="469" t="s">
        <v>1231</v>
      </c>
      <c r="F13" s="1765">
        <f>'Expenditures 15-22'!K184</f>
        <v>0</v>
      </c>
      <c r="G13" s="1765">
        <f>'Expenditures 15-22'!K279</f>
        <v>126431</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0</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1389918</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4043043</v>
      </c>
      <c r="D17" s="1710">
        <f t="shared" si="2"/>
        <v>145566</v>
      </c>
      <c r="E17" s="1710">
        <f t="shared" si="2"/>
        <v>0</v>
      </c>
      <c r="F17" s="1710">
        <f t="shared" si="2"/>
        <v>0</v>
      </c>
      <c r="G17" s="1710">
        <f t="shared" si="2"/>
        <v>164569</v>
      </c>
      <c r="H17" s="1710">
        <f t="shared" si="2"/>
        <v>0</v>
      </c>
      <c r="I17" s="468"/>
      <c r="J17" s="1710">
        <f>SUM(J12:J16)</f>
        <v>0</v>
      </c>
      <c r="K17" s="1710">
        <f>SUM(K12:K16)</f>
        <v>0</v>
      </c>
      <c r="L17" s="347"/>
    </row>
    <row r="18" spans="1:12" ht="15" customHeight="1" thickTop="1" x14ac:dyDescent="0.2">
      <c r="A18" s="1766" t="s">
        <v>1753</v>
      </c>
      <c r="B18" s="1767">
        <v>4180</v>
      </c>
      <c r="C18" s="1764">
        <f t="shared" ref="C18:H18" si="3">C9</f>
        <v>1057586</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5100629</v>
      </c>
      <c r="D19" s="1710">
        <f t="shared" si="4"/>
        <v>145566</v>
      </c>
      <c r="E19" s="1710">
        <f t="shared" si="4"/>
        <v>0</v>
      </c>
      <c r="F19" s="1710">
        <f t="shared" si="4"/>
        <v>0</v>
      </c>
      <c r="G19" s="1710">
        <f t="shared" si="4"/>
        <v>164569</v>
      </c>
      <c r="H19" s="1710">
        <f t="shared" si="4"/>
        <v>0</v>
      </c>
      <c r="I19" s="468"/>
      <c r="J19" s="1710">
        <f>SUM(J17:J18)</f>
        <v>0</v>
      </c>
      <c r="K19" s="1710">
        <f>SUM(K17:K18)</f>
        <v>0</v>
      </c>
      <c r="L19" s="347"/>
    </row>
    <row r="20" spans="1:12" ht="16.5" thickTop="1" thickBot="1" x14ac:dyDescent="0.25">
      <c r="A20" s="2144" t="s">
        <v>1754</v>
      </c>
      <c r="B20" s="2145"/>
      <c r="C20" s="1768">
        <f>C8-C17</f>
        <v>56522</v>
      </c>
      <c r="D20" s="1768">
        <f t="shared" ref="D20:K20" si="5">D8-D17</f>
        <v>54434</v>
      </c>
      <c r="E20" s="1768">
        <f t="shared" si="5"/>
        <v>0</v>
      </c>
      <c r="F20" s="1768">
        <f t="shared" si="5"/>
        <v>0</v>
      </c>
      <c r="G20" s="1768">
        <f t="shared" si="5"/>
        <v>35431</v>
      </c>
      <c r="H20" s="1768">
        <f t="shared" si="5"/>
        <v>0</v>
      </c>
      <c r="I20" s="1768">
        <f t="shared" si="5"/>
        <v>0</v>
      </c>
      <c r="J20" s="1768">
        <f t="shared" si="5"/>
        <v>0</v>
      </c>
      <c r="K20" s="1768">
        <f t="shared" si="5"/>
        <v>0</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1896</v>
      </c>
      <c r="B30" s="527">
        <v>7160</v>
      </c>
      <c r="C30" s="477"/>
      <c r="D30" s="467"/>
      <c r="E30" s="477"/>
      <c r="F30" s="477"/>
      <c r="G30" s="477"/>
      <c r="H30" s="477"/>
      <c r="I30" s="477"/>
      <c r="J30" s="477"/>
      <c r="K30" s="477"/>
      <c r="L30" s="524"/>
    </row>
    <row r="31" spans="1:12" s="485" customFormat="1" ht="26.25" x14ac:dyDescent="0.2">
      <c r="A31" s="1511" t="s">
        <v>1900</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1899</v>
      </c>
      <c r="B52" s="483">
        <v>8160</v>
      </c>
      <c r="C52" s="477"/>
      <c r="D52" s="477"/>
      <c r="E52" s="477"/>
      <c r="F52" s="477"/>
      <c r="G52" s="477"/>
      <c r="H52" s="477"/>
      <c r="I52" s="477"/>
      <c r="J52" s="477"/>
      <c r="K52" s="1765">
        <f>D30</f>
        <v>0</v>
      </c>
      <c r="L52" s="524"/>
    </row>
    <row r="53" spans="1:12" s="485" customFormat="1" ht="26.25" x14ac:dyDescent="0.2">
      <c r="A53" s="1512" t="s">
        <v>1898</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56522</v>
      </c>
      <c r="D78" s="1724">
        <f t="shared" si="9"/>
        <v>54434</v>
      </c>
      <c r="E78" s="1724">
        <f t="shared" si="9"/>
        <v>0</v>
      </c>
      <c r="F78" s="1724">
        <f t="shared" si="9"/>
        <v>0</v>
      </c>
      <c r="G78" s="1724">
        <f t="shared" si="9"/>
        <v>35431</v>
      </c>
      <c r="H78" s="1724">
        <f t="shared" si="9"/>
        <v>0</v>
      </c>
      <c r="I78" s="1724">
        <f t="shared" si="9"/>
        <v>0</v>
      </c>
      <c r="J78" s="1724">
        <f t="shared" si="9"/>
        <v>0</v>
      </c>
      <c r="K78" s="1724">
        <f t="shared" si="9"/>
        <v>0</v>
      </c>
      <c r="L78" s="533"/>
    </row>
    <row r="79" spans="1:12" ht="13.5" thickTop="1" x14ac:dyDescent="0.2">
      <c r="A79" s="1516" t="s">
        <v>2072</v>
      </c>
      <c r="B79" s="534"/>
      <c r="C79" s="478">
        <v>773843</v>
      </c>
      <c r="D79" s="535">
        <v>95154</v>
      </c>
      <c r="E79" s="535">
        <v>0</v>
      </c>
      <c r="F79" s="535">
        <v>0</v>
      </c>
      <c r="G79" s="535">
        <v>95710</v>
      </c>
      <c r="H79" s="535">
        <v>0</v>
      </c>
      <c r="I79" s="535">
        <v>0</v>
      </c>
      <c r="J79" s="535">
        <v>0</v>
      </c>
      <c r="K79" s="535">
        <v>0</v>
      </c>
      <c r="L79" s="347"/>
    </row>
    <row r="80" spans="1:12" x14ac:dyDescent="0.2">
      <c r="A80" s="2146" t="s">
        <v>1897</v>
      </c>
      <c r="B80" s="2147"/>
      <c r="C80" s="467"/>
      <c r="D80" s="467"/>
      <c r="E80" s="467"/>
      <c r="F80" s="467"/>
      <c r="G80" s="467"/>
      <c r="H80" s="467"/>
      <c r="I80" s="467"/>
      <c r="J80" s="467"/>
      <c r="K80" s="467"/>
      <c r="L80" s="347"/>
    </row>
    <row r="81" spans="1:12" ht="13.5" thickBot="1" x14ac:dyDescent="0.25">
      <c r="A81" s="2138" t="s">
        <v>2073</v>
      </c>
      <c r="B81" s="2139"/>
      <c r="C81" s="1710">
        <f>(SUM(C78:C80))</f>
        <v>830365</v>
      </c>
      <c r="D81" s="1710">
        <f>SUM(D78:D80)</f>
        <v>149588</v>
      </c>
      <c r="E81" s="1710">
        <f t="shared" ref="E81:K81" si="10">SUM(E78:E80)</f>
        <v>0</v>
      </c>
      <c r="F81" s="1710">
        <f t="shared" si="10"/>
        <v>0</v>
      </c>
      <c r="G81" s="1710">
        <f t="shared" si="10"/>
        <v>131141</v>
      </c>
      <c r="H81" s="1710">
        <f t="shared" si="10"/>
        <v>0</v>
      </c>
      <c r="I81" s="1710">
        <f t="shared" si="10"/>
        <v>0</v>
      </c>
      <c r="J81" s="1710">
        <f t="shared" si="10"/>
        <v>0</v>
      </c>
      <c r="K81" s="1710">
        <f t="shared" si="10"/>
        <v>0</v>
      </c>
      <c r="L81" s="347"/>
    </row>
    <row r="82" spans="1:12" ht="0.75" customHeight="1" thickTop="1" thickBot="1" x14ac:dyDescent="0.25">
      <c r="A82" s="536" t="s">
        <v>361</v>
      </c>
      <c r="B82" s="537"/>
      <c r="C82" s="538">
        <f>(C81-C79)</f>
        <v>56522</v>
      </c>
      <c r="D82" s="538">
        <f t="shared" ref="D82:K82" si="11">(D81-D79)</f>
        <v>54434</v>
      </c>
      <c r="E82" s="538">
        <f t="shared" si="11"/>
        <v>0</v>
      </c>
      <c r="F82" s="538">
        <f t="shared" si="11"/>
        <v>0</v>
      </c>
      <c r="G82" s="538">
        <f t="shared" si="11"/>
        <v>35431</v>
      </c>
      <c r="H82" s="538">
        <f t="shared" si="11"/>
        <v>0</v>
      </c>
      <c r="I82" s="538">
        <f t="shared" si="11"/>
        <v>0</v>
      </c>
      <c r="J82" s="538">
        <f t="shared" si="11"/>
        <v>0</v>
      </c>
      <c r="K82" s="538">
        <f t="shared" si="11"/>
        <v>0</v>
      </c>
    </row>
    <row r="83" spans="1:12" ht="14.25" hidden="1" thickTop="1" thickBot="1" x14ac:dyDescent="0.25">
      <c r="A83" s="539" t="s">
        <v>362</v>
      </c>
      <c r="B83" s="464"/>
      <c r="C83" s="540">
        <f>C82/C81</f>
        <v>6.8068861283893223E-2</v>
      </c>
      <c r="D83" s="540">
        <f t="shared" ref="D83:K83" si="12">D82/D81</f>
        <v>0.36389282562772413</v>
      </c>
      <c r="E83" s="540" t="e">
        <f t="shared" si="12"/>
        <v>#DIV/0!</v>
      </c>
      <c r="F83" s="540" t="e">
        <f t="shared" si="12"/>
        <v>#DIV/0!</v>
      </c>
      <c r="G83" s="540">
        <f t="shared" si="12"/>
        <v>0.27017484997064228</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topLeftCell="A75" zoomScaleNormal="100" workbookViewId="0">
      <selection activeCell="C98" sqref="C98"/>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1904</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c r="D5" s="481"/>
      <c r="E5" s="466"/>
      <c r="F5" s="548"/>
      <c r="G5" s="466"/>
      <c r="H5" s="466"/>
      <c r="I5" s="466"/>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0</v>
      </c>
      <c r="D12" s="1729">
        <f t="shared" si="0"/>
        <v>0</v>
      </c>
      <c r="E12" s="1729">
        <f t="shared" si="0"/>
        <v>0</v>
      </c>
      <c r="F12" s="1729">
        <f t="shared" si="0"/>
        <v>0</v>
      </c>
      <c r="G12" s="1729">
        <f t="shared" si="0"/>
        <v>0</v>
      </c>
      <c r="H12" s="1729">
        <f t="shared" si="0"/>
        <v>0</v>
      </c>
      <c r="I12" s="1729">
        <f t="shared" si="0"/>
        <v>0</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c r="D16" s="466"/>
      <c r="E16" s="466"/>
      <c r="F16" s="466"/>
      <c r="G16" s="466"/>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0</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c r="D65" s="466"/>
      <c r="E65" s="466"/>
      <c r="F65" s="467"/>
      <c r="G65" s="466"/>
      <c r="H65" s="466"/>
      <c r="I65" s="466"/>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0</v>
      </c>
      <c r="D67" s="1710">
        <f t="shared" ref="D67:K67" si="2">SUM(D65:D66)</f>
        <v>0</v>
      </c>
      <c r="E67" s="1710">
        <f t="shared" si="2"/>
        <v>0</v>
      </c>
      <c r="F67" s="1710">
        <f t="shared" si="2"/>
        <v>0</v>
      </c>
      <c r="G67" s="1710">
        <f t="shared" si="2"/>
        <v>0</v>
      </c>
      <c r="H67" s="1710">
        <f t="shared" si="2"/>
        <v>0</v>
      </c>
      <c r="I67" s="1710">
        <f t="shared" si="2"/>
        <v>0</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0</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246733</v>
      </c>
      <c r="D98" s="466"/>
      <c r="E98" s="512"/>
      <c r="F98" s="466"/>
      <c r="G98" s="512"/>
      <c r="H98" s="512"/>
      <c r="I98" s="510"/>
      <c r="J98" s="512"/>
      <c r="K98" s="512"/>
    </row>
    <row r="99" spans="1:12" ht="12.75" customHeight="1" x14ac:dyDescent="0.2">
      <c r="A99" s="463" t="s">
        <v>875</v>
      </c>
      <c r="B99" s="470">
        <v>1950</v>
      </c>
      <c r="C99" s="489"/>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v>1655000</v>
      </c>
      <c r="D104" s="466">
        <v>200000</v>
      </c>
      <c r="E104" s="481"/>
      <c r="F104" s="467"/>
      <c r="G104" s="467">
        <v>200000</v>
      </c>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c r="D107" s="466"/>
      <c r="E107" s="466"/>
      <c r="F107" s="466"/>
      <c r="G107" s="466"/>
      <c r="H107" s="466"/>
      <c r="I107" s="466"/>
      <c r="J107" s="467"/>
      <c r="K107" s="466"/>
    </row>
    <row r="108" spans="1:12" ht="12.75" customHeight="1" thickBot="1" x14ac:dyDescent="0.25">
      <c r="A108" s="1730" t="s">
        <v>508</v>
      </c>
      <c r="B108" s="1734"/>
      <c r="C108" s="1729">
        <f>SUM(C95:C107)</f>
        <v>1901733</v>
      </c>
      <c r="D108" s="1729">
        <f t="shared" ref="D108:K108" si="3">SUM(D95:D107)</f>
        <v>200000</v>
      </c>
      <c r="E108" s="1729">
        <f t="shared" si="3"/>
        <v>0</v>
      </c>
      <c r="F108" s="1729">
        <f t="shared" si="3"/>
        <v>0</v>
      </c>
      <c r="G108" s="1729">
        <f t="shared" si="3"/>
        <v>200000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1901733</v>
      </c>
      <c r="D109" s="1737">
        <f t="shared" si="4"/>
        <v>200000</v>
      </c>
      <c r="E109" s="1737">
        <f t="shared" si="4"/>
        <v>0</v>
      </c>
      <c r="F109" s="1737">
        <f t="shared" si="4"/>
        <v>0</v>
      </c>
      <c r="G109" s="1737">
        <f t="shared" si="4"/>
        <v>200000</v>
      </c>
      <c r="H109" s="1737">
        <f t="shared" si="4"/>
        <v>0</v>
      </c>
      <c r="I109" s="1737">
        <f t="shared" si="4"/>
        <v>0</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95535</v>
      </c>
      <c r="D117" s="481"/>
      <c r="E117" s="466"/>
      <c r="F117" s="481"/>
      <c r="G117" s="481"/>
      <c r="H117" s="466"/>
      <c r="I117" s="468"/>
      <c r="J117" s="467"/>
      <c r="K117" s="466"/>
    </row>
    <row r="118" spans="1:11" ht="12.75" customHeight="1" x14ac:dyDescent="0.2">
      <c r="A118" s="463" t="s">
        <v>1901</v>
      </c>
      <c r="B118" s="562">
        <v>3002</v>
      </c>
      <c r="C118" s="551"/>
      <c r="D118" s="466"/>
      <c r="E118" s="466"/>
      <c r="F118" s="466"/>
      <c r="G118" s="466"/>
      <c r="H118" s="466"/>
      <c r="I118" s="468"/>
      <c r="J118" s="467"/>
      <c r="K118" s="466"/>
    </row>
    <row r="119" spans="1:11" ht="12.75" customHeight="1" x14ac:dyDescent="0.2">
      <c r="A119" s="463" t="s">
        <v>1902</v>
      </c>
      <c r="B119" s="562">
        <v>3005</v>
      </c>
      <c r="C119" s="551"/>
      <c r="D119" s="466"/>
      <c r="E119" s="466"/>
      <c r="F119" s="466"/>
      <c r="G119" s="466"/>
      <c r="H119" s="466"/>
      <c r="I119" s="468"/>
      <c r="J119" s="467"/>
      <c r="K119" s="466"/>
    </row>
    <row r="120" spans="1:11" x14ac:dyDescent="0.2">
      <c r="A120" s="1518" t="s">
        <v>1903</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95535</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c r="D125" s="561"/>
      <c r="E125" s="468"/>
      <c r="F125" s="466"/>
      <c r="G125" s="468"/>
      <c r="H125" s="468"/>
      <c r="I125" s="468"/>
      <c r="J125" s="468"/>
      <c r="K125" s="468"/>
    </row>
    <row r="126" spans="1:11" ht="12.75" customHeight="1" x14ac:dyDescent="0.2">
      <c r="A126" s="463" t="s">
        <v>922</v>
      </c>
      <c r="B126" s="562">
        <v>3110</v>
      </c>
      <c r="C126" s="551">
        <v>47768</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47768</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0</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47768</v>
      </c>
      <c r="D172" s="1744">
        <f t="shared" si="6"/>
        <v>0</v>
      </c>
      <c r="E172" s="1744">
        <f t="shared" si="6"/>
        <v>0</v>
      </c>
      <c r="F172" s="1744">
        <f t="shared" si="6"/>
        <v>0</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143303</v>
      </c>
      <c r="D173" s="1737">
        <f>SUM(D121,D172)</f>
        <v>0</v>
      </c>
      <c r="E173" s="1737">
        <f>SUM(E121,E172)</f>
        <v>0</v>
      </c>
      <c r="F173" s="1737">
        <f t="shared" ref="F173:K173" si="7">SUM(F121,F172)</f>
        <v>0</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1905</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0</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44194</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2010335</v>
      </c>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2054529</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2054529</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2054529</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4099565</v>
      </c>
      <c r="D275" s="1737">
        <f t="shared" si="12"/>
        <v>200000</v>
      </c>
      <c r="E275" s="1737">
        <f t="shared" si="12"/>
        <v>0</v>
      </c>
      <c r="F275" s="1737">
        <f t="shared" si="12"/>
        <v>0</v>
      </c>
      <c r="G275" s="1737">
        <f t="shared" si="12"/>
        <v>200000</v>
      </c>
      <c r="H275" s="1737">
        <f t="shared" si="12"/>
        <v>0</v>
      </c>
      <c r="I275" s="1737">
        <f t="shared" si="12"/>
        <v>0</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workbookViewId="0">
      <selection activeCell="D12" sqref="D12"/>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1904</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c r="D5" s="466"/>
      <c r="E5" s="466"/>
      <c r="F5" s="466"/>
      <c r="G5" s="466"/>
      <c r="H5" s="466"/>
      <c r="I5" s="467"/>
      <c r="J5" s="467"/>
      <c r="K5" s="1693">
        <f>SUM(C5:J5)</f>
        <v>0</v>
      </c>
      <c r="L5" s="466">
        <v>0</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c r="D7" s="467"/>
      <c r="E7" s="467"/>
      <c r="F7" s="467"/>
      <c r="G7" s="467"/>
      <c r="H7" s="467"/>
      <c r="I7" s="467"/>
      <c r="J7" s="467"/>
      <c r="K7" s="1693">
        <f t="shared" ref="K7:K32" si="0">SUM(C7:J7)</f>
        <v>0</v>
      </c>
      <c r="L7" s="466">
        <v>0</v>
      </c>
    </row>
    <row r="8" spans="1:14" x14ac:dyDescent="0.2">
      <c r="A8" s="1526" t="s">
        <v>166</v>
      </c>
      <c r="B8" s="615">
        <v>1200</v>
      </c>
      <c r="C8" s="466">
        <v>659671</v>
      </c>
      <c r="D8" s="466">
        <v>131124</v>
      </c>
      <c r="E8" s="466">
        <v>1031</v>
      </c>
      <c r="F8" s="466">
        <v>32222</v>
      </c>
      <c r="G8" s="466">
        <v>68219</v>
      </c>
      <c r="H8" s="466">
        <v>26103</v>
      </c>
      <c r="I8" s="467"/>
      <c r="J8" s="467"/>
      <c r="K8" s="1693">
        <f t="shared" si="0"/>
        <v>918370</v>
      </c>
      <c r="L8" s="466">
        <v>965600</v>
      </c>
    </row>
    <row r="9" spans="1:14" x14ac:dyDescent="0.2">
      <c r="A9" s="1526" t="s">
        <v>745</v>
      </c>
      <c r="B9" s="615" t="s">
        <v>1025</v>
      </c>
      <c r="C9" s="467"/>
      <c r="D9" s="467"/>
      <c r="E9" s="467"/>
      <c r="F9" s="467"/>
      <c r="G9" s="467"/>
      <c r="H9" s="467"/>
      <c r="I9" s="467"/>
      <c r="J9" s="467"/>
      <c r="K9" s="1693">
        <f t="shared" si="0"/>
        <v>0</v>
      </c>
      <c r="L9" s="466">
        <v>0</v>
      </c>
    </row>
    <row r="10" spans="1:14" x14ac:dyDescent="0.2">
      <c r="A10" s="1526" t="s">
        <v>746</v>
      </c>
      <c r="B10" s="615">
        <v>1250</v>
      </c>
      <c r="C10" s="466"/>
      <c r="D10" s="466"/>
      <c r="E10" s="466"/>
      <c r="F10" s="466"/>
      <c r="G10" s="466"/>
      <c r="H10" s="466"/>
      <c r="I10" s="467"/>
      <c r="J10" s="467"/>
      <c r="K10" s="1693">
        <f t="shared" si="0"/>
        <v>0</v>
      </c>
      <c r="L10" s="466">
        <v>0</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c r="G13" s="466"/>
      <c r="H13" s="466"/>
      <c r="I13" s="467"/>
      <c r="J13" s="467"/>
      <c r="K13" s="1693">
        <f t="shared" si="0"/>
        <v>0</v>
      </c>
      <c r="L13" s="466">
        <v>0</v>
      </c>
    </row>
    <row r="14" spans="1:14" x14ac:dyDescent="0.2">
      <c r="A14" s="1526" t="s">
        <v>1020</v>
      </c>
      <c r="B14" s="615">
        <v>1500</v>
      </c>
      <c r="C14" s="466"/>
      <c r="D14" s="466"/>
      <c r="E14" s="466"/>
      <c r="F14" s="466"/>
      <c r="G14" s="466"/>
      <c r="H14" s="466"/>
      <c r="I14" s="467"/>
      <c r="J14" s="467"/>
      <c r="K14" s="1693">
        <f t="shared" si="0"/>
        <v>0</v>
      </c>
      <c r="L14" s="466">
        <v>0</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c r="D16" s="466"/>
      <c r="E16" s="466"/>
      <c r="F16" s="466"/>
      <c r="G16" s="466"/>
      <c r="H16" s="466"/>
      <c r="I16" s="467"/>
      <c r="J16" s="467"/>
      <c r="K16" s="1693">
        <f t="shared" si="0"/>
        <v>0</v>
      </c>
      <c r="L16" s="466">
        <v>0</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c r="D18" s="466"/>
      <c r="E18" s="466"/>
      <c r="F18" s="466"/>
      <c r="G18" s="466"/>
      <c r="H18" s="466"/>
      <c r="I18" s="467"/>
      <c r="J18" s="467"/>
      <c r="K18" s="1693">
        <f t="shared" si="0"/>
        <v>0</v>
      </c>
      <c r="L18" s="466">
        <v>0</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659671</v>
      </c>
      <c r="D33" s="1692">
        <f t="shared" ref="D33:L33" si="1">SUM(D5:D32)</f>
        <v>131124</v>
      </c>
      <c r="E33" s="1692">
        <f t="shared" si="1"/>
        <v>1031</v>
      </c>
      <c r="F33" s="1692">
        <f t="shared" si="1"/>
        <v>32222</v>
      </c>
      <c r="G33" s="1692">
        <f t="shared" si="1"/>
        <v>68219</v>
      </c>
      <c r="H33" s="1692">
        <f t="shared" si="1"/>
        <v>26103</v>
      </c>
      <c r="I33" s="1692">
        <f t="shared" si="1"/>
        <v>0</v>
      </c>
      <c r="J33" s="1692">
        <f t="shared" si="1"/>
        <v>0</v>
      </c>
      <c r="K33" s="1692">
        <f t="shared" si="1"/>
        <v>918370</v>
      </c>
      <c r="L33" s="1692">
        <f t="shared" si="1"/>
        <v>965600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v>0</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f>54828+110428+608247</f>
        <v>773503</v>
      </c>
      <c r="D38" s="466">
        <v>948</v>
      </c>
      <c r="E38" s="466"/>
      <c r="F38" s="466"/>
      <c r="G38" s="466"/>
      <c r="H38" s="466"/>
      <c r="I38" s="467"/>
      <c r="J38" s="467"/>
      <c r="K38" s="1693">
        <f t="shared" si="2"/>
        <v>774451</v>
      </c>
      <c r="L38" s="466">
        <v>629000</v>
      </c>
    </row>
    <row r="39" spans="1:14" x14ac:dyDescent="0.2">
      <c r="A39" s="1526" t="s">
        <v>208</v>
      </c>
      <c r="B39" s="615">
        <v>2140</v>
      </c>
      <c r="C39" s="466">
        <f>245117+4224</f>
        <v>249341</v>
      </c>
      <c r="D39" s="466">
        <f>3589+93721</f>
        <v>97310</v>
      </c>
      <c r="E39" s="466"/>
      <c r="F39" s="466"/>
      <c r="G39" s="466"/>
      <c r="H39" s="466"/>
      <c r="I39" s="467"/>
      <c r="J39" s="467"/>
      <c r="K39" s="1693">
        <f t="shared" si="2"/>
        <v>346651</v>
      </c>
      <c r="L39" s="466">
        <v>251000</v>
      </c>
    </row>
    <row r="40" spans="1:14" x14ac:dyDescent="0.2">
      <c r="A40" s="1526" t="s">
        <v>209</v>
      </c>
      <c r="B40" s="615">
        <v>2150</v>
      </c>
      <c r="C40" s="466">
        <f>355336+92491+5718</f>
        <v>453545</v>
      </c>
      <c r="D40" s="466">
        <v>5108</v>
      </c>
      <c r="E40" s="466"/>
      <c r="F40" s="466">
        <f>359</f>
        <v>359</v>
      </c>
      <c r="G40" s="466"/>
      <c r="H40" s="466"/>
      <c r="I40" s="467"/>
      <c r="J40" s="467"/>
      <c r="K40" s="1693">
        <f t="shared" si="2"/>
        <v>459012</v>
      </c>
      <c r="L40" s="466">
        <v>471000</v>
      </c>
    </row>
    <row r="41" spans="1:14" x14ac:dyDescent="0.2">
      <c r="A41" s="1526" t="s">
        <v>1768</v>
      </c>
      <c r="B41" s="615">
        <v>2190</v>
      </c>
      <c r="C41" s="466"/>
      <c r="D41" s="466"/>
      <c r="E41" s="466"/>
      <c r="F41" s="466"/>
      <c r="G41" s="466"/>
      <c r="H41" s="466"/>
      <c r="I41" s="467"/>
      <c r="J41" s="467"/>
      <c r="K41" s="1693">
        <f t="shared" si="2"/>
        <v>0</v>
      </c>
      <c r="L41" s="466">
        <v>22500</v>
      </c>
    </row>
    <row r="42" spans="1:14" ht="12.75" customHeight="1" thickBot="1" x14ac:dyDescent="0.25">
      <c r="A42" s="1690" t="s">
        <v>581</v>
      </c>
      <c r="B42" s="1691" t="s">
        <v>740</v>
      </c>
      <c r="C42" s="1692">
        <f>SUM(C36:C41)</f>
        <v>1476389</v>
      </c>
      <c r="D42" s="1692">
        <f t="shared" ref="D42:L42" si="3">SUM(D36:D41)</f>
        <v>103366</v>
      </c>
      <c r="E42" s="1692">
        <f t="shared" si="3"/>
        <v>0</v>
      </c>
      <c r="F42" s="1692">
        <f t="shared" si="3"/>
        <v>359</v>
      </c>
      <c r="G42" s="1692">
        <f t="shared" si="3"/>
        <v>0</v>
      </c>
      <c r="H42" s="1692">
        <f t="shared" si="3"/>
        <v>0</v>
      </c>
      <c r="I42" s="1692">
        <f t="shared" si="3"/>
        <v>0</v>
      </c>
      <c r="J42" s="1692">
        <f t="shared" si="3"/>
        <v>0</v>
      </c>
      <c r="K42" s="1692">
        <f t="shared" si="3"/>
        <v>1580114</v>
      </c>
      <c r="L42" s="1692">
        <f t="shared" si="3"/>
        <v>1373500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c r="D44" s="481"/>
      <c r="E44" s="481">
        <f>3769+77300+7</f>
        <v>81076</v>
      </c>
      <c r="F44" s="481"/>
      <c r="G44" s="481"/>
      <c r="H44" s="481"/>
      <c r="I44" s="467"/>
      <c r="J44" s="467"/>
      <c r="K44" s="1694">
        <f>SUM(C44:J44)</f>
        <v>81076</v>
      </c>
      <c r="L44" s="481">
        <v>61000</v>
      </c>
    </row>
    <row r="45" spans="1:14" x14ac:dyDescent="0.2">
      <c r="A45" s="1526" t="s">
        <v>869</v>
      </c>
      <c r="B45" s="615">
        <v>2220</v>
      </c>
      <c r="C45" s="466"/>
      <c r="D45" s="466"/>
      <c r="E45" s="466"/>
      <c r="F45" s="466"/>
      <c r="G45" s="466"/>
      <c r="H45" s="466"/>
      <c r="I45" s="467"/>
      <c r="J45" s="467"/>
      <c r="K45" s="1694">
        <f>SUM(C45:J45)</f>
        <v>0</v>
      </c>
      <c r="L45" s="466">
        <v>0</v>
      </c>
    </row>
    <row r="46" spans="1:14" x14ac:dyDescent="0.2">
      <c r="A46" s="1526" t="s">
        <v>870</v>
      </c>
      <c r="B46" s="615">
        <v>2230</v>
      </c>
      <c r="C46" s="466"/>
      <c r="D46" s="466"/>
      <c r="E46" s="466">
        <f>6358</f>
        <v>6358</v>
      </c>
      <c r="F46" s="466">
        <f>1240+2537</f>
        <v>3777</v>
      </c>
      <c r="G46" s="466"/>
      <c r="H46" s="466"/>
      <c r="I46" s="467"/>
      <c r="J46" s="467"/>
      <c r="K46" s="1694">
        <f>SUM(C46:J46)</f>
        <v>10135</v>
      </c>
      <c r="L46" s="466">
        <v>11500</v>
      </c>
    </row>
    <row r="47" spans="1:14" ht="12.75" customHeight="1" thickBot="1" x14ac:dyDescent="0.25">
      <c r="A47" s="1690" t="s">
        <v>582</v>
      </c>
      <c r="B47" s="1691" t="s">
        <v>32</v>
      </c>
      <c r="C47" s="1692">
        <f>SUM(C44:C46)</f>
        <v>0</v>
      </c>
      <c r="D47" s="1692">
        <f t="shared" ref="D47:K47" si="4">SUM(D44:D46)</f>
        <v>0</v>
      </c>
      <c r="E47" s="1692">
        <f t="shared" si="4"/>
        <v>87434</v>
      </c>
      <c r="F47" s="1692">
        <f t="shared" si="4"/>
        <v>3777</v>
      </c>
      <c r="G47" s="1692">
        <f t="shared" si="4"/>
        <v>0</v>
      </c>
      <c r="H47" s="1692">
        <f t="shared" si="4"/>
        <v>0</v>
      </c>
      <c r="I47" s="1692">
        <f t="shared" si="4"/>
        <v>0</v>
      </c>
      <c r="J47" s="1692">
        <f t="shared" si="4"/>
        <v>0</v>
      </c>
      <c r="K47" s="1692">
        <f t="shared" si="4"/>
        <v>91211</v>
      </c>
      <c r="L47" s="1692">
        <f>SUM(L44:L46)</f>
        <v>72500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c r="D49" s="481"/>
      <c r="E49" s="481"/>
      <c r="F49" s="481"/>
      <c r="G49" s="481"/>
      <c r="H49" s="481"/>
      <c r="I49" s="467"/>
      <c r="J49" s="467"/>
      <c r="K49" s="1694">
        <f>SUM(C49:J49)</f>
        <v>0</v>
      </c>
      <c r="L49" s="481">
        <v>0</v>
      </c>
    </row>
    <row r="50" spans="1:14" x14ac:dyDescent="0.2">
      <c r="A50" s="1526" t="s">
        <v>872</v>
      </c>
      <c r="B50" s="615">
        <v>2320</v>
      </c>
      <c r="C50" s="466"/>
      <c r="D50" s="466"/>
      <c r="E50" s="466"/>
      <c r="F50" s="466"/>
      <c r="G50" s="466"/>
      <c r="H50" s="466"/>
      <c r="I50" s="467"/>
      <c r="J50" s="467"/>
      <c r="K50" s="1694">
        <f>SUM(C50:J50)</f>
        <v>0</v>
      </c>
      <c r="L50" s="466">
        <v>0</v>
      </c>
    </row>
    <row r="51" spans="1:14" x14ac:dyDescent="0.2">
      <c r="A51" s="1526" t="s">
        <v>44</v>
      </c>
      <c r="B51" s="615">
        <v>2330</v>
      </c>
      <c r="C51" s="466"/>
      <c r="D51" s="466"/>
      <c r="E51" s="466"/>
      <c r="F51" s="466"/>
      <c r="G51" s="466"/>
      <c r="H51" s="466"/>
      <c r="I51" s="467"/>
      <c r="J51" s="467"/>
      <c r="K51" s="1694">
        <f>SUM(C51:J51)</f>
        <v>0</v>
      </c>
      <c r="L51" s="466">
        <v>0</v>
      </c>
    </row>
    <row r="52" spans="1:14" ht="22.5" x14ac:dyDescent="0.2">
      <c r="A52" s="1527" t="s">
        <v>316</v>
      </c>
      <c r="B52" s="628" t="s">
        <v>384</v>
      </c>
      <c r="C52" s="474"/>
      <c r="D52" s="474">
        <f>1357+5224</f>
        <v>6581</v>
      </c>
      <c r="E52" s="474">
        <v>1000</v>
      </c>
      <c r="F52" s="474"/>
      <c r="G52" s="474"/>
      <c r="H52" s="474"/>
      <c r="I52" s="474"/>
      <c r="J52" s="474"/>
      <c r="K52" s="1694">
        <f>SUM(C52:J52)</f>
        <v>7581</v>
      </c>
      <c r="L52" s="474">
        <v>39300</v>
      </c>
    </row>
    <row r="53" spans="1:14" ht="12.75" customHeight="1" thickBot="1" x14ac:dyDescent="0.25">
      <c r="A53" s="1690" t="s">
        <v>741</v>
      </c>
      <c r="B53" s="1691" t="s">
        <v>33</v>
      </c>
      <c r="C53" s="1692">
        <f>SUM(C49:C52)</f>
        <v>0</v>
      </c>
      <c r="D53" s="1692">
        <f t="shared" ref="D53:L53" si="5">SUM(D49:D52)</f>
        <v>6581</v>
      </c>
      <c r="E53" s="1692">
        <f t="shared" si="5"/>
        <v>1000</v>
      </c>
      <c r="F53" s="1692">
        <f t="shared" si="5"/>
        <v>0</v>
      </c>
      <c r="G53" s="1692">
        <f t="shared" si="5"/>
        <v>0</v>
      </c>
      <c r="H53" s="1692">
        <f t="shared" si="5"/>
        <v>0</v>
      </c>
      <c r="I53" s="1692">
        <f t="shared" si="5"/>
        <v>0</v>
      </c>
      <c r="J53" s="1692">
        <f t="shared" si="5"/>
        <v>0</v>
      </c>
      <c r="K53" s="1692">
        <f t="shared" si="5"/>
        <v>7581</v>
      </c>
      <c r="L53" s="1692">
        <f t="shared" si="5"/>
        <v>39300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c r="D55" s="481"/>
      <c r="E55" s="481"/>
      <c r="F55" s="481"/>
      <c r="G55" s="481"/>
      <c r="H55" s="481"/>
      <c r="I55" s="467"/>
      <c r="J55" s="467"/>
      <c r="K55" s="1694">
        <f>SUM(C55:J55)</f>
        <v>0</v>
      </c>
      <c r="L55" s="481">
        <v>0</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0</v>
      </c>
      <c r="D57" s="1696">
        <f t="shared" ref="D57:K57" si="6">SUM(D55:D56)</f>
        <v>0</v>
      </c>
      <c r="E57" s="1696">
        <f t="shared" si="6"/>
        <v>0</v>
      </c>
      <c r="F57" s="1696">
        <f t="shared" si="6"/>
        <v>0</v>
      </c>
      <c r="G57" s="1696">
        <f t="shared" si="6"/>
        <v>0</v>
      </c>
      <c r="H57" s="1696">
        <f t="shared" si="6"/>
        <v>0</v>
      </c>
      <c r="I57" s="1696">
        <f t="shared" si="6"/>
        <v>0</v>
      </c>
      <c r="J57" s="1696">
        <f t="shared" si="6"/>
        <v>0</v>
      </c>
      <c r="K57" s="1696">
        <f t="shared" si="6"/>
        <v>0</v>
      </c>
      <c r="L57" s="1692">
        <f>SUM(L55:L56)</f>
        <v>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v>0</v>
      </c>
      <c r="M59" s="610"/>
      <c r="N59" s="610"/>
    </row>
    <row r="60" spans="1:14" s="343" customFormat="1" x14ac:dyDescent="0.2">
      <c r="A60" s="1526" t="s">
        <v>483</v>
      </c>
      <c r="B60" s="615">
        <v>2520</v>
      </c>
      <c r="C60" s="466"/>
      <c r="D60" s="466"/>
      <c r="E60" s="466">
        <v>45000</v>
      </c>
      <c r="F60" s="466"/>
      <c r="G60" s="466"/>
      <c r="H60" s="466"/>
      <c r="I60" s="467"/>
      <c r="J60" s="467"/>
      <c r="K60" s="1694">
        <f t="shared" si="7"/>
        <v>45000</v>
      </c>
      <c r="L60" s="466">
        <v>45000</v>
      </c>
      <c r="M60" s="610"/>
      <c r="N60" s="610"/>
    </row>
    <row r="61" spans="1:14" s="343" customFormat="1" x14ac:dyDescent="0.2">
      <c r="A61" s="1526" t="s">
        <v>206</v>
      </c>
      <c r="B61" s="615">
        <v>2540</v>
      </c>
      <c r="C61" s="466"/>
      <c r="D61" s="466"/>
      <c r="E61" s="466"/>
      <c r="F61" s="466"/>
      <c r="G61" s="466"/>
      <c r="H61" s="466"/>
      <c r="I61" s="467"/>
      <c r="J61" s="467"/>
      <c r="K61" s="1694">
        <f t="shared" si="7"/>
        <v>0</v>
      </c>
      <c r="L61" s="466">
        <v>0</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c r="D63" s="466"/>
      <c r="E63" s="466"/>
      <c r="F63" s="466"/>
      <c r="G63" s="466"/>
      <c r="H63" s="466"/>
      <c r="I63" s="467"/>
      <c r="J63" s="467"/>
      <c r="K63" s="1694">
        <f t="shared" si="7"/>
        <v>0</v>
      </c>
      <c r="L63" s="466">
        <v>0</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0</v>
      </c>
      <c r="D65" s="1692">
        <f t="shared" ref="D65:L65" si="8">SUM(D59:D64)</f>
        <v>0</v>
      </c>
      <c r="E65" s="1692">
        <f t="shared" si="8"/>
        <v>45000</v>
      </c>
      <c r="F65" s="1692">
        <f t="shared" si="8"/>
        <v>0</v>
      </c>
      <c r="G65" s="1692">
        <f t="shared" si="8"/>
        <v>0</v>
      </c>
      <c r="H65" s="1692">
        <f t="shared" si="8"/>
        <v>0</v>
      </c>
      <c r="I65" s="1692">
        <f t="shared" si="8"/>
        <v>0</v>
      </c>
      <c r="J65" s="1692">
        <f t="shared" si="8"/>
        <v>0</v>
      </c>
      <c r="K65" s="1692">
        <f t="shared" si="8"/>
        <v>45000</v>
      </c>
      <c r="L65" s="1692">
        <f t="shared" si="8"/>
        <v>45000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f>8250+2599</f>
        <v>10849</v>
      </c>
      <c r="F68" s="466"/>
      <c r="G68" s="466"/>
      <c r="H68" s="466"/>
      <c r="I68" s="467"/>
      <c r="J68" s="467"/>
      <c r="K68" s="1694">
        <f>SUM(C68:J68)</f>
        <v>10849</v>
      </c>
      <c r="L68" s="466">
        <v>35000</v>
      </c>
      <c r="M68" s="610"/>
      <c r="N68" s="610"/>
    </row>
    <row r="69" spans="1:14" s="343" customFormat="1" x14ac:dyDescent="0.2">
      <c r="A69" s="1526" t="s">
        <v>1121</v>
      </c>
      <c r="B69" s="615">
        <v>2630</v>
      </c>
      <c r="C69" s="466"/>
      <c r="D69" s="466"/>
      <c r="E69" s="466"/>
      <c r="F69" s="466"/>
      <c r="G69" s="466"/>
      <c r="H69" s="466"/>
      <c r="I69" s="467"/>
      <c r="J69" s="467"/>
      <c r="K69" s="1694">
        <f>SUM(C69:J69)</f>
        <v>0</v>
      </c>
      <c r="L69" s="466">
        <v>0</v>
      </c>
      <c r="M69" s="610"/>
      <c r="N69" s="610"/>
    </row>
    <row r="70" spans="1:14" s="343" customFormat="1" x14ac:dyDescent="0.2">
      <c r="A70" s="1526" t="s">
        <v>423</v>
      </c>
      <c r="B70" s="615">
        <v>2640</v>
      </c>
      <c r="C70" s="466"/>
      <c r="D70" s="466"/>
      <c r="E70" s="466"/>
      <c r="F70" s="466"/>
      <c r="G70" s="466"/>
      <c r="H70" s="466"/>
      <c r="I70" s="467"/>
      <c r="J70" s="467"/>
      <c r="K70" s="1694">
        <f>SUM(C70:J70)</f>
        <v>0</v>
      </c>
      <c r="L70" s="466">
        <v>0</v>
      </c>
      <c r="M70" s="610"/>
      <c r="N70" s="610"/>
    </row>
    <row r="71" spans="1:14" s="343" customFormat="1" x14ac:dyDescent="0.2">
      <c r="A71" s="1526" t="s">
        <v>424</v>
      </c>
      <c r="B71" s="615">
        <v>2660</v>
      </c>
      <c r="C71" s="466"/>
      <c r="D71" s="466"/>
      <c r="E71" s="466"/>
      <c r="F71" s="466"/>
      <c r="G71" s="466"/>
      <c r="H71" s="466"/>
      <c r="I71" s="467"/>
      <c r="J71" s="467"/>
      <c r="K71" s="1694">
        <f>SUM(C71:J71)</f>
        <v>0</v>
      </c>
      <c r="L71" s="466">
        <v>0</v>
      </c>
      <c r="M71" s="610"/>
      <c r="N71" s="610"/>
    </row>
    <row r="72" spans="1:14" s="343" customFormat="1" ht="12.75" customHeight="1" thickBot="1" x14ac:dyDescent="0.25">
      <c r="A72" s="1690" t="s">
        <v>37</v>
      </c>
      <c r="B72" s="1697" t="s">
        <v>36</v>
      </c>
      <c r="C72" s="1692">
        <f>SUM(C67:C71)</f>
        <v>0</v>
      </c>
      <c r="D72" s="1692">
        <f t="shared" ref="D72:K72" si="9">SUM(D67:D71)</f>
        <v>0</v>
      </c>
      <c r="E72" s="1692">
        <f t="shared" si="9"/>
        <v>10849</v>
      </c>
      <c r="F72" s="1692">
        <f t="shared" si="9"/>
        <v>0</v>
      </c>
      <c r="G72" s="1692">
        <f t="shared" si="9"/>
        <v>0</v>
      </c>
      <c r="H72" s="1692">
        <f t="shared" si="9"/>
        <v>0</v>
      </c>
      <c r="I72" s="1692">
        <f t="shared" si="9"/>
        <v>0</v>
      </c>
      <c r="J72" s="1692">
        <f t="shared" si="9"/>
        <v>0</v>
      </c>
      <c r="K72" s="1692">
        <f t="shared" si="9"/>
        <v>10849</v>
      </c>
      <c r="L72" s="1692">
        <f>SUM(L67:L71)</f>
        <v>35000</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1476389</v>
      </c>
      <c r="D74" s="1699">
        <f t="shared" ref="D74:K74" si="10">SUM(D42,D47,D53,D57,D65,D72,D73)</f>
        <v>109947</v>
      </c>
      <c r="E74" s="1699">
        <f t="shared" si="10"/>
        <v>144283</v>
      </c>
      <c r="F74" s="1699">
        <f t="shared" si="10"/>
        <v>4136</v>
      </c>
      <c r="G74" s="1699">
        <f t="shared" si="10"/>
        <v>0</v>
      </c>
      <c r="H74" s="1699">
        <f t="shared" si="10"/>
        <v>0</v>
      </c>
      <c r="I74" s="1699">
        <f t="shared" si="10"/>
        <v>0</v>
      </c>
      <c r="J74" s="1699">
        <f t="shared" si="10"/>
        <v>0</v>
      </c>
      <c r="K74" s="1699">
        <f t="shared" si="10"/>
        <v>1734755</v>
      </c>
      <c r="L74" s="1699">
        <f>SUM(L42,L47,L53,L57,L65,L72,L73)</f>
        <v>1565300</v>
      </c>
    </row>
    <row r="75" spans="1:14" s="259" customFormat="1" ht="15.75" customHeight="1" thickTop="1" thickBot="1" x14ac:dyDescent="0.25">
      <c r="A75" s="1632" t="s">
        <v>49</v>
      </c>
      <c r="B75" s="1633" t="s">
        <v>596</v>
      </c>
      <c r="C75" s="573"/>
      <c r="D75" s="573"/>
      <c r="E75" s="573"/>
      <c r="F75" s="573"/>
      <c r="G75" s="573"/>
      <c r="H75" s="573"/>
      <c r="I75" s="531"/>
      <c r="J75" s="531"/>
      <c r="K75" s="1692">
        <f>SUM(C75:J75)</f>
        <v>0</v>
      </c>
      <c r="L75" s="576">
        <v>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c r="F79" s="617"/>
      <c r="G79" s="617"/>
      <c r="H79" s="466"/>
      <c r="I79" s="477"/>
      <c r="J79" s="477"/>
      <c r="K79" s="1693">
        <f t="shared" si="11"/>
        <v>0</v>
      </c>
      <c r="L79" s="466">
        <v>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c r="F83" s="617"/>
      <c r="G83" s="617"/>
      <c r="H83" s="466">
        <v>1389918</v>
      </c>
      <c r="I83" s="477"/>
      <c r="J83" s="477"/>
      <c r="K83" s="1693">
        <f t="shared" si="11"/>
        <v>1389918</v>
      </c>
      <c r="L83" s="466">
        <v>1400000</v>
      </c>
    </row>
    <row r="84" spans="1:12" ht="13.5" thickBot="1" x14ac:dyDescent="0.25">
      <c r="A84" s="1690" t="s">
        <v>1565</v>
      </c>
      <c r="B84" s="1700">
        <v>4100</v>
      </c>
      <c r="C84" s="617"/>
      <c r="D84" s="617"/>
      <c r="E84" s="1692">
        <f>SUM(E78:E83)</f>
        <v>0</v>
      </c>
      <c r="F84" s="617"/>
      <c r="G84" s="617"/>
      <c r="H84" s="1692">
        <f>SUM(H78:H83)</f>
        <v>1389918</v>
      </c>
      <c r="I84" s="477"/>
      <c r="J84" s="477"/>
      <c r="K84" s="1692">
        <f>SUM(K78:K83)</f>
        <v>1389918</v>
      </c>
      <c r="L84" s="1692">
        <f>SUM(L78:L83)</f>
        <v>1400000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0</v>
      </c>
      <c r="F102" s="617"/>
      <c r="G102" s="617"/>
      <c r="H102" s="1699">
        <f>SUM(H84,H92,H100,H101)</f>
        <v>1389918</v>
      </c>
      <c r="I102" s="477"/>
      <c r="J102" s="477"/>
      <c r="K102" s="1699">
        <f>SUM(K84,K92,K100,K101)</f>
        <v>1389918</v>
      </c>
      <c r="L102" s="1699">
        <f>SUM(L84,L92,L100,L101)</f>
        <v>1400000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0</v>
      </c>
      <c r="M113" s="614"/>
      <c r="N113" s="614"/>
    </row>
    <row r="114" spans="1:14" ht="12.75" customHeight="1" thickTop="1" thickBot="1" x14ac:dyDescent="0.25">
      <c r="A114" s="1690" t="s">
        <v>50</v>
      </c>
      <c r="B114" s="1704"/>
      <c r="C114" s="1692">
        <f>SUM(C33,C74,C75,C102,C112,C113)</f>
        <v>2136060</v>
      </c>
      <c r="D114" s="1692">
        <f t="shared" ref="D114:K114" si="13">SUM(D33,D74,D75,D102,D112,D113)</f>
        <v>241071</v>
      </c>
      <c r="E114" s="1692">
        <f t="shared" si="13"/>
        <v>145314</v>
      </c>
      <c r="F114" s="1692">
        <f t="shared" si="13"/>
        <v>36358</v>
      </c>
      <c r="G114" s="1692">
        <f t="shared" si="13"/>
        <v>68219</v>
      </c>
      <c r="H114" s="1692">
        <f>SUM(H33,H74,H75,H102,H112,H113)</f>
        <v>1416021</v>
      </c>
      <c r="I114" s="1692">
        <f t="shared" si="13"/>
        <v>0</v>
      </c>
      <c r="J114" s="1692">
        <f t="shared" si="13"/>
        <v>0</v>
      </c>
      <c r="K114" s="1692">
        <f t="shared" si="13"/>
        <v>4043043</v>
      </c>
      <c r="L114" s="1692">
        <f>SUM(L33,L74,L75,L102,L112,L113)</f>
        <v>3930900</v>
      </c>
    </row>
    <row r="115" spans="1:14" ht="13.5" thickTop="1" x14ac:dyDescent="0.2">
      <c r="A115" s="2199" t="s">
        <v>1053</v>
      </c>
      <c r="B115" s="2200"/>
      <c r="C115" s="619"/>
      <c r="D115" s="619"/>
      <c r="E115" s="619"/>
      <c r="F115" s="619"/>
      <c r="G115" s="619"/>
      <c r="H115" s="619"/>
      <c r="I115" s="619"/>
      <c r="J115" s="619"/>
      <c r="K115" s="1706">
        <f>'Revenues 9-14'!C275-'Expenditures 15-22'!K114</f>
        <v>56522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c r="F123" s="466"/>
      <c r="G123" s="466"/>
      <c r="H123" s="466"/>
      <c r="I123" s="467"/>
      <c r="J123" s="467"/>
      <c r="K123" s="1692">
        <f>SUM(C123:J123)</f>
        <v>0</v>
      </c>
      <c r="L123" s="466">
        <v>0</v>
      </c>
    </row>
    <row r="124" spans="1:14" ht="14.25" thickTop="1" thickBot="1" x14ac:dyDescent="0.25">
      <c r="A124" s="1526" t="s">
        <v>206</v>
      </c>
      <c r="B124" s="615">
        <v>2540</v>
      </c>
      <c r="C124" s="466"/>
      <c r="D124" s="466"/>
      <c r="E124" s="466">
        <v>145566</v>
      </c>
      <c r="F124" s="466"/>
      <c r="G124" s="466"/>
      <c r="H124" s="466"/>
      <c r="I124" s="467"/>
      <c r="J124" s="467"/>
      <c r="K124" s="1692">
        <f>SUM(C124:J124)</f>
        <v>145566</v>
      </c>
      <c r="L124" s="466">
        <v>169100</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0</v>
      </c>
      <c r="D127" s="1692">
        <f t="shared" ref="D127:L127" si="14">SUM(D122:D126)</f>
        <v>0</v>
      </c>
      <c r="E127" s="1692">
        <f t="shared" si="14"/>
        <v>145566</v>
      </c>
      <c r="F127" s="1692">
        <f t="shared" si="14"/>
        <v>0</v>
      </c>
      <c r="G127" s="1692">
        <f t="shared" si="14"/>
        <v>0</v>
      </c>
      <c r="H127" s="1692">
        <f t="shared" si="14"/>
        <v>0</v>
      </c>
      <c r="I127" s="1692">
        <f t="shared" si="14"/>
        <v>0</v>
      </c>
      <c r="J127" s="1692">
        <f t="shared" si="14"/>
        <v>0</v>
      </c>
      <c r="K127" s="1692">
        <f t="shared" si="14"/>
        <v>145566</v>
      </c>
      <c r="L127" s="1692">
        <f t="shared" si="14"/>
        <v>169100</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0</v>
      </c>
      <c r="D129" s="1699">
        <f t="shared" ref="D129:L129" si="15">SUM(D120,D127,D128)</f>
        <v>0</v>
      </c>
      <c r="E129" s="1699">
        <f t="shared" si="15"/>
        <v>145566</v>
      </c>
      <c r="F129" s="1699">
        <f t="shared" si="15"/>
        <v>0</v>
      </c>
      <c r="G129" s="1699">
        <f t="shared" si="15"/>
        <v>0</v>
      </c>
      <c r="H129" s="1699">
        <f t="shared" si="15"/>
        <v>0</v>
      </c>
      <c r="I129" s="1699">
        <f t="shared" si="15"/>
        <v>0</v>
      </c>
      <c r="J129" s="1699">
        <f t="shared" si="15"/>
        <v>0</v>
      </c>
      <c r="K129" s="1699">
        <f t="shared" si="15"/>
        <v>145566</v>
      </c>
      <c r="L129" s="1699">
        <f t="shared" si="15"/>
        <v>169100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0</v>
      </c>
    </row>
    <row r="151" spans="1:14" ht="12.75" customHeight="1" thickTop="1" thickBot="1" x14ac:dyDescent="0.25">
      <c r="A151" s="2189" t="s">
        <v>641</v>
      </c>
      <c r="B151" s="2171"/>
      <c r="C151" s="1692">
        <f>SUM(C129,C130,C139,C149,C150)</f>
        <v>0</v>
      </c>
      <c r="D151" s="1692">
        <f t="shared" ref="D151:K151" si="16">SUM(D129,D130,D139,D149,D150)</f>
        <v>0</v>
      </c>
      <c r="E151" s="1692">
        <f t="shared" si="16"/>
        <v>145566</v>
      </c>
      <c r="F151" s="1692">
        <f t="shared" si="16"/>
        <v>0</v>
      </c>
      <c r="G151" s="1692">
        <f t="shared" si="16"/>
        <v>0</v>
      </c>
      <c r="H151" s="1692">
        <f t="shared" si="16"/>
        <v>0</v>
      </c>
      <c r="I151" s="1692">
        <f t="shared" si="16"/>
        <v>0</v>
      </c>
      <c r="J151" s="1692">
        <f t="shared" si="16"/>
        <v>0</v>
      </c>
      <c r="K151" s="1692">
        <f t="shared" si="16"/>
        <v>145566</v>
      </c>
      <c r="L151" s="1692">
        <f>SUM(L129,L130,L139,L149,L150)</f>
        <v>169100</v>
      </c>
    </row>
    <row r="152" spans="1:14" ht="12.75" customHeight="1" thickTop="1" x14ac:dyDescent="0.2">
      <c r="A152" s="2192" t="s">
        <v>1240</v>
      </c>
      <c r="B152" s="2193"/>
      <c r="C152" s="619"/>
      <c r="D152" s="619"/>
      <c r="E152" s="619"/>
      <c r="F152" s="619"/>
      <c r="G152" s="619"/>
      <c r="H152" s="619"/>
      <c r="I152" s="619"/>
      <c r="J152" s="617"/>
      <c r="K152" s="1706">
        <f>'Revenues 9-14'!D275-'Expenditures 15-22'!K151</f>
        <v>54434</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v>0</v>
      </c>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v>0</v>
      </c>
    </row>
    <row r="170" spans="1:14" ht="33.75" customHeight="1" x14ac:dyDescent="0.2">
      <c r="A170" s="670" t="s">
        <v>1769</v>
      </c>
      <c r="B170" s="672" t="s">
        <v>31</v>
      </c>
      <c r="C170" s="617"/>
      <c r="D170" s="617"/>
      <c r="E170" s="617"/>
      <c r="F170" s="617"/>
      <c r="G170" s="617"/>
      <c r="H170" s="569"/>
      <c r="I170" s="617"/>
      <c r="J170" s="617"/>
      <c r="K170" s="1693">
        <f>SUM(C170:J170)</f>
        <v>0</v>
      </c>
      <c r="L170" s="569">
        <v>0</v>
      </c>
    </row>
    <row r="171" spans="1:14" ht="15.75" customHeight="1" x14ac:dyDescent="0.2">
      <c r="A171" s="622" t="s">
        <v>790</v>
      </c>
      <c r="B171" s="673" t="s">
        <v>86</v>
      </c>
      <c r="C171" s="617"/>
      <c r="D171" s="617"/>
      <c r="E171" s="466"/>
      <c r="F171" s="617"/>
      <c r="G171" s="617"/>
      <c r="H171" s="569"/>
      <c r="I171" s="477"/>
      <c r="J171" s="617"/>
      <c r="K171" s="1693">
        <f>SUM(C171:J171)</f>
        <v>0</v>
      </c>
      <c r="L171" s="569">
        <v>0</v>
      </c>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9" t="s">
        <v>1053</v>
      </c>
      <c r="B175" s="2200"/>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c r="D182" s="466"/>
      <c r="E182" s="466"/>
      <c r="F182" s="466"/>
      <c r="G182" s="466"/>
      <c r="H182" s="466"/>
      <c r="I182" s="467"/>
      <c r="J182" s="467"/>
      <c r="K182" s="1693">
        <f>SUM(C182:J182)</f>
        <v>0</v>
      </c>
      <c r="L182" s="466">
        <v>0</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0</v>
      </c>
      <c r="D184" s="1699">
        <f t="shared" ref="D184:J184" si="17">SUM(D180,D182,D183)</f>
        <v>0</v>
      </c>
      <c r="E184" s="1699">
        <f t="shared" si="17"/>
        <v>0</v>
      </c>
      <c r="F184" s="1699">
        <f t="shared" si="17"/>
        <v>0</v>
      </c>
      <c r="G184" s="1699">
        <f t="shared" si="17"/>
        <v>0</v>
      </c>
      <c r="H184" s="1699">
        <f t="shared" si="17"/>
        <v>0</v>
      </c>
      <c r="I184" s="1699">
        <f t="shared" si="17"/>
        <v>0</v>
      </c>
      <c r="J184" s="1699">
        <f t="shared" si="17"/>
        <v>0</v>
      </c>
      <c r="K184" s="1699">
        <f>SUM(K180,K182,K183)</f>
        <v>0</v>
      </c>
      <c r="L184" s="1699">
        <f>SUM(L180, L182:L183)</f>
        <v>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0</v>
      </c>
      <c r="D210" s="1692">
        <f>SUM(D184,D185)</f>
        <v>0</v>
      </c>
      <c r="E210" s="1692">
        <f>SUM(E184,E185,E196)</f>
        <v>0</v>
      </c>
      <c r="F210" s="1692">
        <f>SUM(F184,F185)</f>
        <v>0</v>
      </c>
      <c r="G210" s="1692">
        <f>SUM(G184,G185)</f>
        <v>0</v>
      </c>
      <c r="H210" s="1692">
        <f>SUM(H184,H185,H196,H208,H209)</f>
        <v>0</v>
      </c>
      <c r="I210" s="1692">
        <f>SUM(I184,I185)</f>
        <v>0</v>
      </c>
      <c r="J210" s="1692">
        <f>SUM(J184,J185)</f>
        <v>0</v>
      </c>
      <c r="K210" s="1693">
        <f>SUM(K184,K185,K196,K208,K209)</f>
        <v>0</v>
      </c>
      <c r="L210" s="1692">
        <f>SUM(L184,L185,L196,L208,L209)</f>
        <v>0</v>
      </c>
    </row>
    <row r="211" spans="1:14" ht="13.5" thickTop="1" x14ac:dyDescent="0.2">
      <c r="A211" s="2199" t="s">
        <v>1053</v>
      </c>
      <c r="B211" s="2200"/>
      <c r="C211" s="619"/>
      <c r="D211" s="619"/>
      <c r="E211" s="619"/>
      <c r="F211" s="619"/>
      <c r="G211" s="619"/>
      <c r="H211" s="619"/>
      <c r="I211" s="617"/>
      <c r="J211" s="617"/>
      <c r="K211" s="1706">
        <f>'Revenues 9-14'!F275-'Expenditures 15-22'!K210</f>
        <v>0</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c r="E215" s="617"/>
      <c r="F215" s="617"/>
      <c r="G215" s="617"/>
      <c r="H215" s="617"/>
      <c r="I215" s="617"/>
      <c r="J215" s="617"/>
      <c r="K215" s="1693">
        <f>D215</f>
        <v>0</v>
      </c>
      <c r="L215" s="466">
        <v>0</v>
      </c>
    </row>
    <row r="216" spans="1:14" x14ac:dyDescent="0.2">
      <c r="A216" s="1526" t="s">
        <v>165</v>
      </c>
      <c r="B216" s="615" t="s">
        <v>1024</v>
      </c>
      <c r="C216" s="617"/>
      <c r="D216" s="467"/>
      <c r="E216" s="617"/>
      <c r="F216" s="617"/>
      <c r="G216" s="617"/>
      <c r="H216" s="617"/>
      <c r="I216" s="617"/>
      <c r="J216" s="617"/>
      <c r="K216" s="1693">
        <f t="shared" ref="K216:K228" si="19">D216</f>
        <v>0</v>
      </c>
      <c r="L216" s="466">
        <v>0</v>
      </c>
    </row>
    <row r="217" spans="1:14" x14ac:dyDescent="0.2">
      <c r="A217" s="1526" t="s">
        <v>166</v>
      </c>
      <c r="B217" s="615">
        <v>1200</v>
      </c>
      <c r="C217" s="617"/>
      <c r="D217" s="466">
        <f>16441+12198+9499</f>
        <v>38138</v>
      </c>
      <c r="E217" s="617"/>
      <c r="F217" s="617"/>
      <c r="G217" s="617"/>
      <c r="H217" s="617"/>
      <c r="I217" s="617"/>
      <c r="J217" s="617"/>
      <c r="K217" s="1693">
        <f t="shared" si="19"/>
        <v>38138</v>
      </c>
      <c r="L217" s="466">
        <v>92000</v>
      </c>
    </row>
    <row r="218" spans="1:14" x14ac:dyDescent="0.2">
      <c r="A218" s="1526" t="s">
        <v>296</v>
      </c>
      <c r="B218" s="615" t="s">
        <v>1025</v>
      </c>
      <c r="C218" s="617"/>
      <c r="D218" s="467"/>
      <c r="E218" s="617"/>
      <c r="F218" s="617"/>
      <c r="G218" s="617"/>
      <c r="H218" s="617"/>
      <c r="I218" s="617"/>
      <c r="J218" s="617"/>
      <c r="K218" s="1693">
        <f t="shared" si="19"/>
        <v>0</v>
      </c>
      <c r="L218" s="466">
        <v>0</v>
      </c>
    </row>
    <row r="219" spans="1:14" x14ac:dyDescent="0.2">
      <c r="A219" s="1526" t="s">
        <v>297</v>
      </c>
      <c r="B219" s="615">
        <v>1250</v>
      </c>
      <c r="C219" s="617"/>
      <c r="D219" s="466"/>
      <c r="E219" s="617"/>
      <c r="F219" s="617"/>
      <c r="G219" s="617"/>
      <c r="H219" s="617"/>
      <c r="I219" s="617"/>
      <c r="J219" s="617"/>
      <c r="K219" s="1693">
        <f t="shared" si="19"/>
        <v>0</v>
      </c>
      <c r="L219" s="466">
        <v>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c r="E223" s="617"/>
      <c r="F223" s="617"/>
      <c r="G223" s="617"/>
      <c r="H223" s="617"/>
      <c r="I223" s="617"/>
      <c r="J223" s="617"/>
      <c r="K223" s="1693">
        <f t="shared" si="19"/>
        <v>0</v>
      </c>
      <c r="L223" s="466">
        <v>0</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c r="E225" s="617"/>
      <c r="F225" s="617"/>
      <c r="G225" s="617"/>
      <c r="H225" s="617"/>
      <c r="I225" s="617"/>
      <c r="J225" s="617"/>
      <c r="K225" s="1693">
        <f t="shared" si="19"/>
        <v>0</v>
      </c>
      <c r="L225" s="466">
        <v>0</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c r="E227" s="617"/>
      <c r="F227" s="617"/>
      <c r="G227" s="617"/>
      <c r="H227" s="617"/>
      <c r="I227" s="617"/>
      <c r="J227" s="617"/>
      <c r="K227" s="1693">
        <f t="shared" si="19"/>
        <v>0</v>
      </c>
      <c r="L227" s="466">
        <v>0</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38138</v>
      </c>
      <c r="E229" s="617"/>
      <c r="F229" s="617"/>
      <c r="G229" s="617"/>
      <c r="H229" s="617"/>
      <c r="I229" s="617"/>
      <c r="J229" s="617"/>
      <c r="K229" s="1692">
        <f>SUM(K215:K228)</f>
        <v>38138</v>
      </c>
      <c r="L229" s="1692">
        <f>SUM(L215:L228)</f>
        <v>92000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v>0</v>
      </c>
    </row>
    <row r="233" spans="1:12" x14ac:dyDescent="0.2">
      <c r="A233" s="1526" t="s">
        <v>1151</v>
      </c>
      <c r="B233" s="615">
        <v>2120</v>
      </c>
      <c r="C233" s="617"/>
      <c r="D233" s="466">
        <f>2781+2062+1212</f>
        <v>6055</v>
      </c>
      <c r="E233" s="617"/>
      <c r="F233" s="617"/>
      <c r="G233" s="617"/>
      <c r="H233" s="617"/>
      <c r="I233" s="617"/>
      <c r="J233" s="617"/>
      <c r="K233" s="1693">
        <f t="shared" si="20"/>
        <v>6055</v>
      </c>
      <c r="L233" s="466">
        <v>0</v>
      </c>
    </row>
    <row r="234" spans="1:12" x14ac:dyDescent="0.2">
      <c r="A234" s="1526" t="s">
        <v>207</v>
      </c>
      <c r="B234" s="615">
        <v>2130</v>
      </c>
      <c r="C234" s="617"/>
      <c r="D234" s="466">
        <v>97366</v>
      </c>
      <c r="E234" s="617"/>
      <c r="F234" s="617"/>
      <c r="G234" s="617"/>
      <c r="H234" s="617"/>
      <c r="I234" s="617"/>
      <c r="J234" s="617"/>
      <c r="K234" s="1693">
        <f t="shared" si="20"/>
        <v>97366</v>
      </c>
      <c r="L234" s="466">
        <v>55000</v>
      </c>
    </row>
    <row r="235" spans="1:12" x14ac:dyDescent="0.2">
      <c r="A235" s="1526" t="s">
        <v>208</v>
      </c>
      <c r="B235" s="615">
        <v>2140</v>
      </c>
      <c r="C235" s="617"/>
      <c r="D235" s="466">
        <v>3262</v>
      </c>
      <c r="E235" s="617"/>
      <c r="F235" s="617"/>
      <c r="G235" s="617"/>
      <c r="H235" s="617"/>
      <c r="I235" s="617"/>
      <c r="J235" s="617"/>
      <c r="K235" s="1693">
        <f t="shared" si="20"/>
        <v>3262</v>
      </c>
      <c r="L235" s="466">
        <v>18000</v>
      </c>
    </row>
    <row r="236" spans="1:12" x14ac:dyDescent="0.2">
      <c r="A236" s="1526" t="s">
        <v>209</v>
      </c>
      <c r="B236" s="615">
        <v>2150</v>
      </c>
      <c r="C236" s="617"/>
      <c r="D236" s="466">
        <v>19588</v>
      </c>
      <c r="E236" s="617"/>
      <c r="F236" s="617"/>
      <c r="G236" s="617"/>
      <c r="H236" s="617"/>
      <c r="I236" s="617"/>
      <c r="J236" s="617"/>
      <c r="K236" s="1693">
        <f t="shared" si="20"/>
        <v>19588</v>
      </c>
      <c r="L236" s="466">
        <v>20000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126271</v>
      </c>
      <c r="E238" s="617"/>
      <c r="F238" s="617"/>
      <c r="G238" s="617"/>
      <c r="H238" s="617"/>
      <c r="I238" s="617"/>
      <c r="J238" s="617"/>
      <c r="K238" s="1692">
        <f>SUM(K232:K237)</f>
        <v>126271</v>
      </c>
      <c r="L238" s="1692">
        <f>SUM(L232:L237)</f>
        <v>93000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76+62+22</f>
        <v>160</v>
      </c>
      <c r="E240" s="617"/>
      <c r="F240" s="617"/>
      <c r="G240" s="617"/>
      <c r="H240" s="617"/>
      <c r="I240" s="617"/>
      <c r="J240" s="617"/>
      <c r="K240" s="1694">
        <f>D240</f>
        <v>160</v>
      </c>
      <c r="L240" s="481">
        <v>0</v>
      </c>
    </row>
    <row r="241" spans="1:12" x14ac:dyDescent="0.2">
      <c r="A241" s="1526" t="s">
        <v>869</v>
      </c>
      <c r="B241" s="615">
        <v>2220</v>
      </c>
      <c r="C241" s="617"/>
      <c r="D241" s="466"/>
      <c r="E241" s="617"/>
      <c r="F241" s="617"/>
      <c r="G241" s="617"/>
      <c r="H241" s="617"/>
      <c r="I241" s="617"/>
      <c r="J241" s="617"/>
      <c r="K241" s="1694">
        <f>D241</f>
        <v>0</v>
      </c>
      <c r="L241" s="466">
        <v>0</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160</v>
      </c>
      <c r="E243" s="617"/>
      <c r="F243" s="617"/>
      <c r="G243" s="617"/>
      <c r="H243" s="617"/>
      <c r="I243" s="617"/>
      <c r="J243" s="617"/>
      <c r="K243" s="1692">
        <f>SUM(K240:K242)</f>
        <v>160</v>
      </c>
      <c r="L243" s="1692">
        <f>SUM(L240:L242)</f>
        <v>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v>0</v>
      </c>
    </row>
    <row r="246" spans="1:12" x14ac:dyDescent="0.2">
      <c r="A246" s="1526" t="s">
        <v>872</v>
      </c>
      <c r="B246" s="615">
        <v>2320</v>
      </c>
      <c r="C246" s="617"/>
      <c r="D246" s="466"/>
      <c r="E246" s="617"/>
      <c r="F246" s="617"/>
      <c r="G246" s="617"/>
      <c r="H246" s="617"/>
      <c r="I246" s="617"/>
      <c r="J246" s="617"/>
      <c r="K246" s="1694">
        <f t="shared" ref="K246:K256" si="21">D246</f>
        <v>0</v>
      </c>
      <c r="L246" s="466">
        <v>0</v>
      </c>
    </row>
    <row r="247" spans="1:12" x14ac:dyDescent="0.2">
      <c r="A247" s="1526" t="s">
        <v>873</v>
      </c>
      <c r="B247" s="615">
        <v>2330</v>
      </c>
      <c r="C247" s="617"/>
      <c r="D247" s="466"/>
      <c r="E247" s="617"/>
      <c r="F247" s="617"/>
      <c r="G247" s="617"/>
      <c r="H247" s="617"/>
      <c r="I247" s="617"/>
      <c r="J247" s="617"/>
      <c r="K247" s="1694">
        <f t="shared" si="21"/>
        <v>0</v>
      </c>
      <c r="L247" s="466">
        <v>0</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1907</v>
      </c>
      <c r="B249" s="684" t="s">
        <v>300</v>
      </c>
      <c r="C249" s="617"/>
      <c r="D249" s="474"/>
      <c r="E249" s="617"/>
      <c r="F249" s="617"/>
      <c r="G249" s="617"/>
      <c r="H249" s="617"/>
      <c r="I249" s="617"/>
      <c r="J249" s="617"/>
      <c r="K249" s="1694">
        <f t="shared" si="21"/>
        <v>0</v>
      </c>
      <c r="L249" s="466">
        <v>0</v>
      </c>
    </row>
    <row r="250" spans="1:12" x14ac:dyDescent="0.2">
      <c r="A250" s="1527" t="s">
        <v>1908</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0</v>
      </c>
      <c r="E257" s="617"/>
      <c r="F257" s="617"/>
      <c r="G257" s="617"/>
      <c r="H257" s="617"/>
      <c r="I257" s="617"/>
      <c r="J257" s="617"/>
      <c r="K257" s="1692">
        <f>SUM(K245:K256)</f>
        <v>0</v>
      </c>
      <c r="L257" s="1692">
        <f>SUM(L245:L256)</f>
        <v>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c r="E259" s="617"/>
      <c r="F259" s="617"/>
      <c r="G259" s="617"/>
      <c r="H259" s="617"/>
      <c r="I259" s="617"/>
      <c r="J259" s="617"/>
      <c r="K259" s="1694">
        <f>D259</f>
        <v>0</v>
      </c>
      <c r="L259" s="481">
        <v>0</v>
      </c>
    </row>
    <row r="260" spans="1:14" s="598" customFormat="1" x14ac:dyDescent="0.2">
      <c r="A260" s="1544" t="s">
        <v>1906</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0</v>
      </c>
      <c r="E261" s="617"/>
      <c r="F261" s="617"/>
      <c r="G261" s="617"/>
      <c r="H261" s="617"/>
      <c r="I261" s="617"/>
      <c r="J261" s="617"/>
      <c r="K261" s="1692">
        <f>SUM(K259:K260)</f>
        <v>0</v>
      </c>
      <c r="L261" s="1692">
        <f>SUM(L259:L260)</f>
        <v>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v>0</v>
      </c>
    </row>
    <row r="264" spans="1:14" x14ac:dyDescent="0.2">
      <c r="A264" s="1526" t="s">
        <v>483</v>
      </c>
      <c r="B264" s="686">
        <v>2520</v>
      </c>
      <c r="C264" s="617"/>
      <c r="D264" s="466"/>
      <c r="E264" s="617"/>
      <c r="F264" s="617"/>
      <c r="G264" s="617"/>
      <c r="H264" s="617"/>
      <c r="I264" s="617"/>
      <c r="J264" s="617"/>
      <c r="K264" s="1694">
        <f t="shared" ref="K264:K269" si="22">D264</f>
        <v>0</v>
      </c>
      <c r="L264" s="466">
        <v>0</v>
      </c>
    </row>
    <row r="265" spans="1:14" x14ac:dyDescent="0.2">
      <c r="A265" s="1526" t="s">
        <v>4</v>
      </c>
      <c r="B265" s="615">
        <v>2530</v>
      </c>
      <c r="C265" s="617"/>
      <c r="D265" s="466"/>
      <c r="E265" s="617"/>
      <c r="F265" s="617"/>
      <c r="G265" s="617"/>
      <c r="H265" s="617"/>
      <c r="I265" s="617"/>
      <c r="J265" s="617"/>
      <c r="K265" s="1694">
        <f t="shared" si="22"/>
        <v>0</v>
      </c>
      <c r="L265" s="466">
        <v>0</v>
      </c>
    </row>
    <row r="266" spans="1:14" x14ac:dyDescent="0.2">
      <c r="A266" s="1526" t="s">
        <v>206</v>
      </c>
      <c r="B266" s="615">
        <v>2540</v>
      </c>
      <c r="C266" s="617"/>
      <c r="D266" s="466"/>
      <c r="E266" s="617"/>
      <c r="F266" s="617"/>
      <c r="G266" s="617"/>
      <c r="H266" s="617"/>
      <c r="I266" s="617"/>
      <c r="J266" s="617"/>
      <c r="K266" s="1694">
        <f t="shared" si="22"/>
        <v>0</v>
      </c>
      <c r="L266" s="466">
        <v>0</v>
      </c>
    </row>
    <row r="267" spans="1:14" x14ac:dyDescent="0.2">
      <c r="A267" s="1526" t="s">
        <v>1010</v>
      </c>
      <c r="B267" s="615">
        <v>2550</v>
      </c>
      <c r="C267" s="617"/>
      <c r="D267" s="466"/>
      <c r="E267" s="617"/>
      <c r="F267" s="617"/>
      <c r="G267" s="617"/>
      <c r="H267" s="617"/>
      <c r="I267" s="617"/>
      <c r="J267" s="617"/>
      <c r="K267" s="1694">
        <f t="shared" si="22"/>
        <v>0</v>
      </c>
      <c r="L267" s="466">
        <v>0</v>
      </c>
    </row>
    <row r="268" spans="1:14" x14ac:dyDescent="0.2">
      <c r="A268" s="1526" t="s">
        <v>102</v>
      </c>
      <c r="B268" s="615">
        <v>2560</v>
      </c>
      <c r="C268" s="617"/>
      <c r="D268" s="466"/>
      <c r="E268" s="617"/>
      <c r="F268" s="617"/>
      <c r="G268" s="617"/>
      <c r="H268" s="617"/>
      <c r="I268" s="617"/>
      <c r="J268" s="617"/>
      <c r="K268" s="1694">
        <f t="shared" si="22"/>
        <v>0</v>
      </c>
      <c r="L268" s="466">
        <v>0</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0</v>
      </c>
      <c r="E270" s="617"/>
      <c r="F270" s="617"/>
      <c r="G270" s="617"/>
      <c r="H270" s="617"/>
      <c r="I270" s="617"/>
      <c r="J270" s="617"/>
      <c r="K270" s="1692">
        <f>SUM(K263:K269)</f>
        <v>0</v>
      </c>
      <c r="L270" s="1692">
        <f>SUM(L263:L269)</f>
        <v>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c r="E275" s="617"/>
      <c r="F275" s="617"/>
      <c r="G275" s="617"/>
      <c r="H275" s="617"/>
      <c r="I275" s="617"/>
      <c r="J275" s="617"/>
      <c r="K275" s="1694">
        <f>D275</f>
        <v>0</v>
      </c>
      <c r="L275" s="466">
        <v>0</v>
      </c>
    </row>
    <row r="276" spans="1:12" x14ac:dyDescent="0.2">
      <c r="A276" s="1526" t="s">
        <v>424</v>
      </c>
      <c r="B276" s="615">
        <v>2660</v>
      </c>
      <c r="C276" s="617"/>
      <c r="D276" s="466"/>
      <c r="E276" s="617"/>
      <c r="F276" s="617"/>
      <c r="G276" s="617"/>
      <c r="H276" s="617"/>
      <c r="I276" s="617"/>
      <c r="J276" s="617"/>
      <c r="K276" s="1694">
        <f>D276</f>
        <v>0</v>
      </c>
      <c r="L276" s="466">
        <v>0</v>
      </c>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126431</v>
      </c>
      <c r="E279" s="617"/>
      <c r="F279" s="617"/>
      <c r="G279" s="617"/>
      <c r="H279" s="617"/>
      <c r="I279" s="617"/>
      <c r="J279" s="617"/>
      <c r="K279" s="1699">
        <f>SUM(K238,K243,K257,K261,K270,K277,K278)</f>
        <v>126431</v>
      </c>
      <c r="L279" s="1699">
        <f>SUM(L238,L243,L257,L261,L270,L277,L278)</f>
        <v>93000</v>
      </c>
    </row>
    <row r="280" spans="1:12" ht="15.75" customHeight="1" thickTop="1" thickBot="1" x14ac:dyDescent="0.25">
      <c r="A280" s="1646" t="s">
        <v>930</v>
      </c>
      <c r="B280" s="1635">
        <v>3000</v>
      </c>
      <c r="C280" s="617"/>
      <c r="D280" s="576"/>
      <c r="E280" s="617"/>
      <c r="F280" s="617"/>
      <c r="G280" s="617"/>
      <c r="H280" s="617"/>
      <c r="I280" s="617"/>
      <c r="J280" s="617"/>
      <c r="K280" s="1701">
        <f>D280</f>
        <v>0</v>
      </c>
      <c r="L280" s="576">
        <v>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190" t="s">
        <v>526</v>
      </c>
      <c r="B295" s="2191"/>
      <c r="C295" s="617"/>
      <c r="D295" s="1692">
        <f>SUM(D229,D279,D280,D285)</f>
        <v>164569</v>
      </c>
      <c r="E295" s="617"/>
      <c r="F295" s="617"/>
      <c r="G295" s="617"/>
      <c r="H295" s="1692">
        <f>H293</f>
        <v>0</v>
      </c>
      <c r="I295" s="617"/>
      <c r="J295" s="617"/>
      <c r="K295" s="1692">
        <f>SUM(K229,K279,K280,K285,K293,K294)</f>
        <v>164569</v>
      </c>
      <c r="L295" s="1692">
        <f>SUM(L229,L279,L280,L285,L293,L294)</f>
        <v>185000</v>
      </c>
    </row>
    <row r="296" spans="1:14" ht="13.5" thickTop="1" x14ac:dyDescent="0.2">
      <c r="A296" s="2199" t="s">
        <v>1053</v>
      </c>
      <c r="B296" s="2200"/>
      <c r="C296" s="617"/>
      <c r="D296" s="619"/>
      <c r="E296" s="617"/>
      <c r="F296" s="617"/>
      <c r="G296" s="617"/>
      <c r="H296" s="688"/>
      <c r="I296" s="617"/>
      <c r="J296" s="617"/>
      <c r="K296" s="1706">
        <f>'Revenues 9-14'!G275-'Expenditures 15-22'!K295</f>
        <v>35431</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1907</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185" t="s">
        <v>1053</v>
      </c>
      <c r="B343" s="2186"/>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v>0</v>
      </c>
    </row>
    <row r="355" spans="1:14" ht="12.75" customHeight="1" x14ac:dyDescent="0.2">
      <c r="A355" s="1535" t="s">
        <v>1965</v>
      </c>
      <c r="B355" s="691" t="s">
        <v>1958</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9" t="s">
        <v>1053</v>
      </c>
      <c r="B368" s="2200"/>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E142579-2840-42B2-83A9-B606BEA674E0}">
  <ds:schemaRefs>
    <ds:schemaRef ds:uri="http://schemas.microsoft.com/sharepoint/v3/contenttype/forms"/>
  </ds:schemaRefs>
</ds:datastoreItem>
</file>

<file path=customXml/itemProps3.xml><?xml version="1.0" encoding="utf-8"?>
<ds:datastoreItem xmlns:ds="http://schemas.openxmlformats.org/officeDocument/2006/customXml" ds:itemID="{A7F99216-9548-403A-A1AC-CF57406FE3BA}">
  <ds:schemaRefs>
    <ds:schemaRef ds:uri="http://purl.org/dc/elements/1.1/"/>
    <ds:schemaRef ds:uri="http://schemas.microsoft.com/office/infopath/2007/PartnerControls"/>
    <ds:schemaRef ds:uri="http://purl.org/dc/dcmitype/"/>
    <ds:schemaRef ds:uri="http://schemas.microsoft.com/sharepoint/v3"/>
    <ds:schemaRef ds:uri="http://schemas.microsoft.com/office/2006/metadata/properties"/>
    <ds:schemaRef ds:uri="http://www.w3.org/XML/1998/namespace"/>
    <ds:schemaRef ds:uri="http://schemas.microsoft.com/office/2006/documentManagement/types"/>
    <ds:schemaRef ds:uri="6ce3111e-7420-4802-b50a-75d4e9a0b980"/>
    <ds:schemaRef ds:uri="4d435f69-8686-490b-bd6d-b153bf22ab50"/>
    <ds:schemaRef ds:uri="http://purl.org/dc/terms/"/>
    <ds:schemaRef ds:uri="d21dc803-237d-4c68-8692-8d731fd29118"/>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2018-12-15T18:29:22Z</cp:lastPrinted>
  <dcterms:created xsi:type="dcterms:W3CDTF">2003-10-29T19:06:34Z</dcterms:created>
  <dcterms:modified xsi:type="dcterms:W3CDTF">2018-12-27T16:53:35Z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