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2 (3)" sheetId="184" r:id="rId33"/>
    <sheet name="SF&amp;QC Sec-3" sheetId="176" r:id="rId34"/>
    <sheet name="SSPAF" sheetId="177" r:id="rId35"/>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B4" i="184" l="1"/>
  <c r="B4" i="183" l="1"/>
  <c r="I19" i="179" l="1"/>
  <c r="I25" i="179" s="1"/>
  <c r="J19" i="179"/>
  <c r="J25" i="179" s="1"/>
  <c r="F19" i="179"/>
  <c r="F25" i="179" s="1"/>
  <c r="L14" i="179"/>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3" i="179" l="1"/>
  <c r="L19" i="179"/>
  <c r="L17" i="179"/>
  <c r="D14" i="171" l="1"/>
  <c r="D12" i="171"/>
  <c r="A10" i="169"/>
  <c r="A16" i="169"/>
  <c r="A15" i="169"/>
  <c r="A14" i="169"/>
  <c r="K18" i="169"/>
  <c r="G18" i="169"/>
  <c r="G15" i="169"/>
  <c r="I13" i="169"/>
  <c r="G11" i="169"/>
  <c r="G10" i="169"/>
  <c r="G9" i="169"/>
  <c r="G7" i="169"/>
  <c r="E7" i="169"/>
  <c r="A2" i="173"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B1" i="184" l="1"/>
  <c r="B1" i="183"/>
  <c r="B2" i="179"/>
  <c r="B2" i="184"/>
  <c r="B2" i="183"/>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69" i="36"/>
  <c r="D71" i="36"/>
  <c r="D72" i="36"/>
  <c r="D79" i="36"/>
  <c r="B64" i="127"/>
  <c r="B65" i="127"/>
  <c r="D26" i="108"/>
  <c r="E26" i="108"/>
  <c r="F26" i="108"/>
  <c r="G26" i="108"/>
  <c r="D27" i="108"/>
  <c r="E27" i="108"/>
  <c r="F27" i="108"/>
  <c r="G27" i="108"/>
  <c r="E28" i="108"/>
  <c r="F31" i="108"/>
  <c r="F36" i="108"/>
  <c r="G28" i="108"/>
  <c r="E29" i="108"/>
  <c r="G29" i="108"/>
  <c r="E30" i="108"/>
  <c r="G30"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29" i="34" s="1"/>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c r="D5112" i="106" s="1"/>
  <c r="C108" i="5"/>
  <c r="B5120" i="106"/>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E4" i="4"/>
  <c r="B2630" i="106" s="1"/>
  <c r="D2630" i="106" s="1"/>
  <c r="D5" i="4"/>
  <c r="B3406" i="106" s="1"/>
  <c r="D3406" i="106" s="1"/>
  <c r="G5" i="4"/>
  <c r="B3409" i="106" s="1"/>
  <c r="D3409" i="106" s="1"/>
  <c r="G14" i="4"/>
  <c r="B2609" i="106" s="1"/>
  <c r="D2609"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6" i="34"/>
  <c r="F131" i="34"/>
  <c r="F130" i="34"/>
  <c r="F128" i="34"/>
  <c r="F127" i="34"/>
  <c r="F111" i="34"/>
  <c r="B5847" i="106"/>
  <c r="D5847" i="106" s="1"/>
  <c r="B5752" i="106"/>
  <c r="D5752" i="106" s="1"/>
  <c r="B5599" i="106"/>
  <c r="D5599" i="106" s="1"/>
  <c r="K274" i="5"/>
  <c r="H173" i="5"/>
  <c r="B5906" i="106" s="1"/>
  <c r="D5906" i="106" s="1"/>
  <c r="C172" i="5"/>
  <c r="B5214" i="106" s="1"/>
  <c r="D5214" i="106" s="1"/>
  <c r="H109" i="5"/>
  <c r="B6025" i="106" s="1"/>
  <c r="D6025" i="106" s="1"/>
  <c r="D109" i="5"/>
  <c r="B5356" i="106" s="1"/>
  <c r="D5356" i="106" s="1"/>
  <c r="F106" i="34"/>
  <c r="D7" i="7"/>
  <c r="B1763" i="106" s="1"/>
  <c r="D1763" i="106" s="1"/>
  <c r="H4" i="4"/>
  <c r="B2655" i="106" s="1"/>
  <c r="D2655" i="106" s="1"/>
  <c r="D4" i="4"/>
  <c r="B2564" i="106" s="1"/>
  <c r="D2564" i="106" s="1"/>
  <c r="H6" i="4"/>
  <c r="B2656" i="106" s="1"/>
  <c r="D2656"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K28" i="118"/>
  <c r="O27" i="118" s="1"/>
  <c r="O29" i="118" s="1"/>
  <c r="I274" i="5"/>
  <c r="K173" i="5"/>
  <c r="K6" i="4" s="1"/>
  <c r="B3570" i="106" s="1"/>
  <c r="D3570" i="106" s="1"/>
  <c r="F172" i="5"/>
  <c r="B5644" i="106" s="1"/>
  <c r="D5644" i="106" s="1"/>
  <c r="G109" i="5"/>
  <c r="L342" i="29"/>
  <c r="L312" i="29"/>
  <c r="D7245" i="106"/>
  <c r="I342" i="29"/>
  <c r="B7222" i="106" s="1"/>
  <c r="D7222" i="106" s="1"/>
  <c r="B3649" i="106"/>
  <c r="D3649" i="106" s="1"/>
  <c r="G367" i="29"/>
  <c r="B3621" i="106"/>
  <c r="D3621" i="106" s="1"/>
  <c r="C367" i="29"/>
  <c r="K285" i="29"/>
  <c r="B1410" i="106"/>
  <c r="D1410" i="106" s="1"/>
  <c r="B1329" i="106"/>
  <c r="D1329" i="106" s="1"/>
  <c r="F61" i="34"/>
  <c r="K24" i="12"/>
  <c r="K350" i="29"/>
  <c r="H367" i="29"/>
  <c r="K76" i="4"/>
  <c r="B3586" i="106" s="1"/>
  <c r="D3586" i="106" s="1"/>
  <c r="D54" i="36"/>
  <c r="D37" i="108"/>
  <c r="F37" i="108"/>
  <c r="F28" i="108"/>
  <c r="C173" i="5"/>
  <c r="B5223" i="106" s="1"/>
  <c r="D5223" i="106" s="1"/>
  <c r="C109" i="5"/>
  <c r="B5121" i="106" s="1"/>
  <c r="D5121"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L114" i="29" s="1"/>
  <c r="K33" i="29"/>
  <c r="B720" i="106"/>
  <c r="D720" i="106" s="1"/>
  <c r="B2031" i="106"/>
  <c r="D2031" i="106" s="1"/>
  <c r="L16" i="11"/>
  <c r="B2061" i="106" s="1"/>
  <c r="D206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2657" i="106"/>
  <c r="D2657" i="106" s="1"/>
  <c r="H8" i="4"/>
  <c r="D274" i="5"/>
  <c r="B3447" i="106"/>
  <c r="D3447" i="106" s="1"/>
  <c r="D19" i="7"/>
  <c r="B1775" i="106" s="1"/>
  <c r="D1775" i="106" s="1"/>
  <c r="B7270" i="106"/>
  <c r="F274" i="5" l="1"/>
  <c r="F275" i="5" s="1"/>
  <c r="C6" i="4"/>
  <c r="B2553" i="106" s="1"/>
  <c r="D2553" i="106" s="1"/>
  <c r="B3670" i="106"/>
  <c r="D3670" i="106" s="1"/>
  <c r="K352" i="29"/>
  <c r="F73" i="34"/>
  <c r="G15" i="4"/>
  <c r="B6032" i="106" s="1"/>
  <c r="D6032" i="106" s="1"/>
  <c r="B7733" i="106"/>
  <c r="D7733" i="106" s="1"/>
  <c r="K26" i="12"/>
  <c r="B7743" i="106" s="1"/>
  <c r="D7743" i="106" s="1"/>
  <c r="B6024" i="106"/>
  <c r="D6024" i="106" s="1"/>
  <c r="G4" i="4"/>
  <c r="B2603" i="106" s="1"/>
  <c r="D2603" i="106" s="1"/>
  <c r="F41" i="108"/>
  <c r="G43" i="108" s="1"/>
  <c r="C114" i="29"/>
  <c r="B757" i="106" s="1"/>
  <c r="D757"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D275" i="5"/>
  <c r="B5507" i="106"/>
  <c r="D5507" i="106" s="1"/>
  <c r="B7298" i="106"/>
  <c r="B7299" i="106"/>
  <c r="K13" i="4" l="1"/>
  <c r="B3572" i="106" s="1"/>
  <c r="D3572" i="106" s="1"/>
  <c r="B3672" i="106"/>
  <c r="D3672" i="106" s="1"/>
  <c r="K367" i="29"/>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C39" i="3" s="1"/>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6" i="36" l="1"/>
  <c r="B92" i="106"/>
  <c r="D92" i="106" s="1"/>
  <c r="C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<sst xmlns="http://schemas.openxmlformats.org/spreadsheetml/2006/main" count="5139" uniqueCount="2148">
  <si>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</si>
  <si>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</si>
  <si>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</si>
  <si>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</si>
  <si>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</si>
  <si>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</si>
  <si>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</si>
  <si>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</si>
  <si>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</si>
  <si>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</si>
  <si>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</si>
  <si>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</si>
  <si>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</si>
  <si>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</si>
  <si>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</si>
  <si>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</si>
  <si>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</si>
  <si>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</si>
  <si>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</si>
  <si>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</si>
  <si>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</si>
  <si>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</si>
  <si>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</si>
  <si>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</si>
  <si>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</si>
  <si>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</si>
  <si>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</si>
  <si>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</si>
  <si>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</si>
  <si>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</si>
  <si>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</si>
  <si>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</si>
  <si>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</si>
  <si>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</si>
  <si>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</si>
  <si>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</si>
  <si>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</si>
  <si>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</si>
  <si>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</si>
  <si>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</si>
  <si>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</si>
  <si>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</si>
  <si>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</si>
  <si>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</si>
  <si>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</si>
  <si>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</si>
  <si>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</si>
  <si>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</si>
  <si>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</si>
  <si>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</si>
  <si>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</si>
  <si>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</si>
  <si>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</si>
  <si>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</si>
  <si>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</si>
  <si>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</si>
  <si>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</si>
  <si>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</si>
  <si>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</si>
  <si>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</si>
  <si>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</si>
  <si>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</si>
  <si>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</si>
  <si>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</si>
  <si>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</si>
  <si>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</si>
  <si>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</si>
  <si>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</si>
  <si>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</si>
  <si>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</si>
  <si>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</si>
  <si>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</si>
  <si>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</si>
  <si>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</si>
  <si>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</si>
  <si>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</si>
  <si>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</si>
  <si>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</si>
  <si>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</si>
  <si>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</si>
  <si>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</si>
  <si>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</si>
  <si>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</si>
  <si>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</si>
  <si>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</si>
  <si>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</si>
  <si>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</si>
  <si>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</si>
  <si>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</si>
  <si>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</si>
  <si>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</si>
  <si>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</si>
  <si>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</si>
  <si>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</si>
  <si>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</si>
  <si>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</si>
  <si>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</si>
  <si>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</si>
  <si>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</si>
  <si>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</si>
  <si>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</si>
  <si>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</si>
  <si>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</si>
  <si>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</si>
  <si>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</si>
  <si>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</si>
  <si>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</si>
  <si>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</si>
  <si>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</si>
  <si>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</si>
  <si>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</si>
  <si>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</si>
  <si>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</si>
  <si>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</si>
  <si>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</si>
  <si>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</si>
  <si>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</si>
  <si>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</si>
  <si>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</si>
  <si>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</si>
  <si>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</si>
  <si>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</si>
  <si>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</si>
  <si>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</si>
  <si>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</si>
  <si>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</si>
  <si>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</si>
  <si>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</si>
  <si>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</si>
  <si>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</si>
  <si>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</si>
  <si>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</si>
  <si>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</si>
  <si>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</si>
  <si>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</si>
  <si>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</si>
  <si>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</si>
  <si>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</si>
  <si>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</si>
  <si>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</si>
  <si>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</si>
  <si>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</si>
  <si>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</si>
  <si>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</si>
  <si>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</si>
  <si>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</si>
  <si>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</si>
  <si>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</si>
  <si>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</si>
  <si>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</si>
  <si>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</si>
  <si>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</si>
  <si>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</si>
  <si>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</si>
  <si>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</si>
  <si>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</si>
  <si>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</si>
  <si>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</si>
  <si>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</si>
  <si>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</si>
  <si>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</si>
  <si>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</si>
  <si>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</si>
  <si>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</si>
  <si>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</si>
  <si>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</si>
  <si>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</si>
  <si>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</si>
  <si>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</si>
  <si>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</si>
  <si>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</si>
  <si>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</si>
  <si>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</si>
  <si>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</si>
  <si>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</si>
  <si>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</si>
  <si>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</si>
  <si>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</si>
  <si>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</si>
  <si>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</si>
  <si>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</si>
  <si>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</si>
  <si>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</si>
  <si>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</si>
  <si>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</si>
  <si>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</si>
  <si>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</si>
  <si>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</si>
  <si>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</si>
  <si>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</si>
  <si>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</si>
  <si>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</si>
  <si>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</si>
  <si>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</si>
  <si>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</si>
  <si>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</si>
  <si>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</si>
  <si>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</si>
  <si>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</si>
  <si>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</si>
  <si>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</si>
  <si>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</si>
  <si>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</si>
  <si>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</si>
  <si>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</si>
  <si>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</si>
  <si>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</si>
  <si>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</si>
  <si>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</si>
  <si>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</si>
  <si>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</si>
  <si>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</si>
  <si>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</si>
  <si>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</si>
  <si>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</si>
  <si>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</si>
  <si>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</si>
  <si>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</si>
  <si>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</si>
  <si>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</si>
  <si>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</si>
  <si>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</si>
  <si>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</si>
  <si>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</si>
  <si>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</si>
  <si>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</si>
  <si>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</si>
  <si>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</si>
  <si>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</si>
  <si>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</si>
  <si>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</si>
  <si>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</si>
  <si>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</si>
  <si>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</si>
  <si>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</si>
  <si>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</si>
  <si>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</si>
  <si>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</si>
  <si>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</si>
  <si>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</si>
  <si>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</si>
  <si>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</si>
  <si>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</si>
  <si>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</si>
  <si>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</si>
  <si>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</si>
  <si>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</si>
  <si>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</si>
  <si>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</si>
  <si>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</si>
  <si>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</si>
  <si>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</si>
  <si>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</si>
  <si>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</si>
  <si>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</si>
  <si>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</si>
  <si>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</si>
  <si>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</si>
  <si>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</si>
  <si>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</si>
  <si>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</si>
  <si>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</si>
  <si>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</si>
  <si>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</si>
  <si>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</si>
  <si>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</si>
  <si>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</si>
  <si>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</si>
  <si>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</si>
  <si>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</si>
  <si>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</si>
  <si>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</si>
  <si>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</si>
  <si>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</si>
  <si>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</si>
  <si>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</si>
  <si>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</si>
  <si>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</si>
  <si>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</si>
  <si>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</si>
  <si>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</si>
  <si>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</si>
  <si>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</si>
  <si>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</si>
  <si>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</si>
  <si>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</si>
  <si>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</si>
  <si>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</si>
  <si>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</si>
  <si>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</si>
  <si>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</si>
  <si>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</si>
  <si>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</si>
  <si>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</si>
  <si>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</si>
  <si>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</si>
  <si>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</si>
  <si>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</si>
  <si>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</si>
  <si>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</si>
  <si>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</si>
  <si>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</si>
  <si>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</si>
  <si>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</si>
  <si>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</si>
  <si>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</si>
  <si>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</si>
  <si>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</si>
  <si>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</si>
  <si>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</si>
  <si>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</si>
  <si>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</si>
  <si>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</si>
  <si>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</si>
  <si>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</si>
  <si>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</si>
  <si>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</si>
  <si>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</si>
  <si>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</si>
  <si>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</si>
  <si>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</si>
  <si>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</si>
  <si>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</si>
  <si>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</si>
  <si>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</si>
  <si>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</si>
  <si>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</si>
  <si>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</si>
  <si>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</si>
  <si>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</si>
  <si>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</si>
  <si>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</si>
  <si>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</si>
  <si>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</si>
  <si>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</si>
  <si>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</si>
  <si>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</si>
  <si>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</si>
  <si>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</si>
  <si>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</si>
  <si>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</si>
  <si>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</si>
  <si>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</si>
  <si>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</si>
  <si>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</si>
  <si>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</si>
  <si>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</si>
  <si>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</si>
  <si>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</si>
  <si>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</si>
  <si>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</si>
  <si>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</si>
  <si>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</si>
  <si>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</si>
  <si>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</si>
  <si>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</si>
  <si>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</si>
  <si>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</si>
  <si>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</si>
  <si>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</si>
  <si>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</si>
  <si>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</si>
  <si>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</si>
  <si>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</si>
  <si>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</si>
  <si>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</si>
  <si>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</si>
  <si>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</si>
  <si>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</si>
  <si>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</si>
  <si>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</si>
  <si>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</si>
  <si>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</si>
  <si>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</si>
  <si>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</si>
  <si>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</si>
  <si>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</si>
  <si>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</si>
  <si>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</si>
  <si>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</si>
  <si>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</si>
  <si>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</si>
  <si>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</si>
  <si>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</si>
  <si>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</si>
  <si>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</si>
  <si>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</si>
  <si>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</si>
  <si>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</si>
  <si>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</si>
  <si>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</si>
  <si>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</si>
  <si>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</si>
  <si>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</si>
  <si>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</si>
  <si>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</si>
  <si>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</si>
  <si>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</si>
  <si>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</si>
  <si>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</si>
  <si>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</si>
  <si>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</si>
  <si>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</si>
  <si>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</si>
  <si>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</si>
  <si>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</si>
  <si>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</si>
  <si>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</si>
  <si>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</si>
  <si>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</si>
  <si>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</si>
  <si>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</si>
  <si>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</si>
  <si>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</si>
  <si>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</si>
  <si>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</si>
  <si>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</si>
  <si>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</si>
  <si>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</si>
  <si>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</si>
  <si>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</si>
  <si>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</si>
  <si>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</si>
  <si>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</si>
  <si>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</si>
  <si>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</si>
  <si>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</si>
  <si>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</si>
  <si>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</si>
  <si>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</si>
  <si>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</si>
  <si>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</si>
  <si>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</si>
  <si>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</si>
  <si>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</si>
  <si>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</si>
  <si>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</si>
  <si>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</si>
  <si>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</si>
  <si>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</si>
  <si>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</si>
  <si>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</si>
  <si>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</si>
  <si>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</si>
  <si>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</si>
  <si>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</si>
  <si>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</si>
  <si>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</si>
  <si>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</si>
  <si>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</si>
  <si>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</si>
  <si>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</si>
  <si>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</si>
  <si>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</si>
  <si>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</si>
  <si>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</si>
  <si>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</si>
  <si>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</si>
  <si>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</si>
  <si>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</si>
  <si>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</si>
  <si>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</si>
  <si>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</si>
  <si>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</si>
  <si>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</si>
  <si>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</si>
  <si>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</si>
  <si>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</si>
  <si>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</si>
  <si>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</si>
  <si>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</si>
  <si>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</si>
  <si>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</si>
  <si>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</si>
  <si>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</si>
  <si>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</si>
  <si>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</si>
  <si>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</si>
  <si>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</si>
  <si>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</si>
  <si>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</si>
  <si>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</si>
  <si>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</si>
  <si>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</si>
  <si>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</si>
  <si>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</si>
  <si>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</si>
  <si>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</si>
  <si>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</si>
  <si>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</si>
  <si>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</si>
  <si>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</si>
  <si>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</si>
  <si>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</si>
  <si>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</si>
  <si>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</si>
  <si>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</si>
  <si>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</si>
  <si>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</si>
  <si>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</si>
  <si>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</si>
  <si>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</si>
  <si>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</si>
  <si>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</si>
  <si>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</si>
  <si>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</si>
  <si>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</si>
  <si>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</si>
  <si>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</si>
  <si>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</si>
  <si>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</si>
  <si>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</si>
  <si>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</si>
  <si>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</si>
  <si>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</si>
  <si>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</si>
  <si>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</si>
  <si>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</si>
  <si>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</si>
  <si>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</si>
  <si>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</si>
  <si>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</si>
  <si>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</si>
  <si>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</si>
  <si>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</si>
  <si>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</si>
  <si>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</si>
  <si>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</si>
  <si>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</si>
  <si>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</si>
  <si>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</si>
  <si>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</si>
  <si>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</si>
  <si>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</si>
  <si>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</si>
  <si>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</si>
  <si>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</si>
  <si>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</si>
  <si>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</si>
  <si>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</si>
  <si>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</si>
  <si>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</si>
  <si>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</si>
  <si>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</si>
  <si>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</si>
  <si>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</si>
  <si>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</si>
  <si>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</si>
  <si>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</si>
  <si>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</si>
  <si>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</si>
  <si>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</si>
  <si>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</si>
  <si>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</si>
  <si>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</si>
  <si>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</si>
  <si>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</si>
  <si>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</si>
  <si>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</si>
  <si>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</si>
  <si>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</si>
  <si>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</si>
  <si>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</si>
  <si>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</si>
  <si>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</si>
  <si>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</si>
  <si>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</si>
  <si>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</si>
  <si>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</si>
  <si>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</si>
  <si>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</si>
  <si>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</si>
  <si>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</si>
  <si>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</si>
  <si>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</si>
  <si>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</si>
  <si>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</si>
  <si>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</si>
  <si>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</si>
  <si>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</si>
  <si>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</si>
  <si>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</si>
  <si>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</si>
  <si>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</si>
  <si>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</si>
  <si>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</si>
  <si>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</si>
  <si>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</si>
  <si>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</si>
  <si>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</si>
  <si>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</si>
  <si>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</si>
  <si>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</si>
  <si>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</si>
  <si>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</si>
  <si>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</si>
  <si>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</si>
  <si>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</si>
  <si>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</si>
  <si>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</si>
  <si>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</si>
  <si>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</si>
  <si>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</si>
  <si>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</si>
  <si>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</si>
  <si>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</si>
  <si>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</si>
  <si>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</si>
  <si>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</si>
  <si>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</si>
  <si>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</si>
  <si>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</si>
  <si>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</si>
  <si>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</si>
  <si>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</si>
  <si>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</si>
  <si>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</si>
  <si>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</si>
  <si>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</si>
  <si>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</si>
  <si>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</si>
  <si>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</si>
  <si>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</si>
  <si>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</si>
  <si>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</si>
  <si>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</si>
  <si>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</si>
  <si>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</si>
  <si>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</si>
  <si>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</si>
  <si>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</si>
  <si>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</si>
  <si>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</si>
  <si>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</si>
  <si>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</si>
  <si>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</si>
  <si>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</si>
  <si>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</si>
  <si>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</si>
  <si>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</si>
  <si>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</si>
  <si>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</si>
  <si>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</si>
  <si>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</si>
  <si>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</si>
  <si>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</si>
  <si>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</si>
  <si>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</si>
  <si>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</si>
  <si>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</si>
  <si>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</si>
  <si>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</si>
  <si>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</si>
  <si>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</si>
  <si>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</si>
  <si>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</si>
  <si>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</si>
  <si>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</si>
  <si>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</si>
  <si>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</si>
  <si>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</si>
  <si>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</si>
  <si>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</si>
  <si>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</si>
  <si>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</si>
  <si>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</si>
  <si>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</si>
  <si>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</si>
  <si>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</si>
  <si>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</si>
  <si>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</si>
  <si>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</si>
  <si>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</si>
  <si>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</si>
  <si>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</si>
  <si>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</si>
  <si>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</si>
  <si>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</si>
  <si>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</si>
  <si>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</si>
  <si>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</si>
  <si>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</si>
  <si>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</si>
  <si>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</si>
  <si>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</si>
  <si>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</si>
  <si>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</si>
  <si>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</si>
  <si>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</si>
  <si>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</si>
  <si>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</si>
  <si>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</si>
  <si>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</si>
  <si>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</si>
  <si>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</si>
  <si>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</si>
  <si>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</si>
  <si>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</si>
  <si>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</si>
  <si>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</si>
  <si>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</si>
  <si>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</si>
  <si>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</si>
  <si>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</si>
  <si>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</si>
  <si>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</si>
  <si>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</si>
  <si>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</si>
  <si>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</si>
  <si>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</si>
  <si>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</si>
  <si>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</si>
  <si>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</si>
  <si>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</si>
  <si>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</si>
  <si>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</si>
  <si>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</si>
  <si>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</si>
  <si>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</si>
  <si>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</si>
  <si>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</si>
  <si>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</si>
  <si>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</si>
  <si>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</si>
  <si>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</si>
  <si>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</si>
  <si>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</si>
  <si>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</si>
  <si>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</si>
  <si>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</si>
  <si>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</si>
  <si>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</si>
  <si>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</si>
  <si>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</si>
  <si>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</si>
  <si>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</si>
  <si>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</si>
  <si>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</si>
  <si>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</si>
  <si>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</si>
  <si>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</si>
  <si>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</si>
  <si>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</si>
  <si>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</si>
  <si>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</si>
  <si>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</si>
  <si>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</si>
  <si>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</si>
  <si>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</si>
  <si>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</si>
  <si>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</si>
  <si>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</si>
  <si>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</si>
  <si>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</si>
  <si>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</si>
  <si>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</si>
  <si>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</si>
  <si>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</si>
  <si>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</si>
  <si>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</si>
  <si>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</si>
  <si>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</si>
  <si>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</si>
  <si>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</si>
  <si>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</si>
  <si>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</si>
  <si>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</si>
  <si>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</si>
  <si>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</si>
  <si>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</si>
  <si>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</si>
  <si>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</si>
  <si>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</si>
  <si>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</si>
  <si>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</si>
  <si>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</si>
  <si>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</si>
  <si>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</si>
  <si>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</si>
  <si>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</si>
  <si>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</si>
  <si>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</si>
  <si>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</si>
  <si>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</si>
  <si>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</si>
  <si>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</si>
  <si>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</si>
  <si>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</si>
  <si>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</si>
  <si>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</si>
  <si>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</si>
  <si>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</si>
  <si>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</si>
  <si>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</si>
  <si>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</si>
  <si>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</si>
  <si>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</si>
  <si>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</si>
  <si>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</si>
  <si>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</si>
  <si>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</si>
  <si>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</si>
  <si>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</si>
  <si>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</si>
  <si>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</si>
  <si>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</si>
  <si>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</si>
  <si>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</si>
  <si>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</si>
  <si>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</si>
  <si>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</si>
  <si>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</si>
  <si>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</si>
  <si>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</si>
  <si>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</si>
  <si>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</si>
  <si>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</si>
  <si>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</si>
  <si>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</si>
  <si>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</si>
  <si>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</si>
  <si>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</si>
  <si>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</si>
  <si>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</si>
  <si>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</si>
  <si>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</si>
  <si>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</si>
  <si>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</si>
  <si>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</si>
  <si>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</si>
  <si>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</si>
  <si>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</si>
  <si>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</si>
  <si>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</si>
  <si>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</si>
  <si>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</si>
  <si>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</si>
  <si>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</si>
  <si>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</si>
  <si>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</si>
  <si>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</si>
  <si>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</si>
  <si>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</si>
  <si>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</si>
  <si>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</si>
  <si>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</si>
  <si>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</si>
  <si>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</si>
  <si>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</si>
  <si>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</si>
  <si>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</si>
  <si>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</si>
  <si>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</si>
  <si>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</si>
  <si>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</si>
  <si>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</si>
  <si>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</si>
  <si>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</si>
  <si>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</si>
  <si>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</si>
  <si>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</si>
  <si>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</si>
  <si>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</si>
  <si>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</si>
  <si>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</si>
  <si>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</si>
  <si>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</si>
  <si>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</si>
  <si>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</si>
  <si>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</si>
  <si>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</si>
  <si>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</si>
  <si>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</si>
  <si>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</si>
  <si>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</si>
  <si>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</si>
  <si>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</si>
  <si>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</si>
  <si>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</si>
  <si>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</si>
  <si>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</si>
  <si>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</si>
  <si>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</si>
  <si>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</si>
  <si>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</si>
  <si>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</si>
  <si>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</si>
  <si>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</si>
  <si>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</si>
  <si>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</si>
  <si>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</si>
  <si>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</si>
  <si>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</si>
  <si>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</si>
  <si>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</si>
  <si>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</si>
  <si>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</si>
  <si>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</si>
  <si>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</si>
  <si>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</si>
  <si>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</si>
  <si>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</si>
  <si>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</si>
  <si>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</si>
  <si>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</si>
  <si>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</si>
  <si>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</si>
  <si>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</si>
  <si>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</si>
  <si>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</si>
  <si>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</si>
  <si>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</si>
  <si>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</si>
  <si>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</si>
  <si>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</si>
  <si>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</si>
  <si>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</si>
  <si>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</si>
  <si>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</si>
  <si>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</si>
  <si>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</si>
  <si>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</si>
  <si>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</si>
  <si>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</si>
  <si>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</si>
  <si>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</si>
  <si>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</si>
  <si>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</si>
  <si>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</si>
  <si>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</si>
  <si>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</si>
  <si>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</si>
  <si>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</si>
  <si>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</si>
  <si>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</si>
  <si>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</si>
  <si>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</si>
  <si>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</si>
  <si>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</si>
  <si>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</si>
  <si>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</si>
  <si>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</si>
  <si>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</si>
  <si>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</si>
  <si>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</si>
  <si>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</si>
  <si>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</si>
  <si>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</si>
  <si>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</si>
  <si>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</si>
  <si>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</si>
  <si>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</si>
  <si>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</si>
  <si>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</si>
  <si>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</si>
  <si>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</si>
  <si>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</si>
  <si>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</si>
  <si>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</si>
  <si>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</si>
  <si>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</si>
  <si>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</si>
  <si>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</si>
  <si>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</si>
  <si>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</si>
  <si>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</si>
  <si>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</si>
  <si>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</si>
  <si>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</si>
  <si>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</si>
  <si>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</si>
  <si>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</si>
  <si>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</si>
  <si>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</si>
  <si>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</si>
  <si>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</si>
  <si>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</si>
  <si>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</si>
  <si>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</si>
  <si>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</si>
  <si>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</si>
  <si>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</si>
  <si>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</si>
  <si>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</si>
  <si>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</si>
  <si>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</si>
  <si>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</si>
  <si>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</si>
  <si>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</si>
  <si>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</si>
  <si>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</si>
  <si>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</si>
  <si>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</si>
  <si>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</si>
  <si>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</si>
  <si>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</si>
  <si>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</si>
  <si>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</si>
  <si>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</si>
  <si>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</si>
  <si>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</si>
  <si>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</si>
  <si>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</si>
  <si>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</si>
  <si>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</si>
  <si>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</si>
  <si>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</si>
  <si>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</si>
  <si>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</si>
  <si>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</si>
  <si>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</si>
  <si>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</si>
  <si>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</si>
  <si>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</si>
  <si>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</si>
  <si>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</si>
  <si>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</si>
  <si>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</si>
  <si>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</si>
  <si>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</si>
  <si>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</si>
  <si>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</si>
  <si>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</si>
  <si>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</si>
  <si>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</si>
  <si>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</si>
  <si>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</si>
  <si>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</si>
  <si>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</si>
  <si>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</si>
  <si>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</si>
  <si>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</si>
  <si>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</si>
  <si>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</si>
  <si>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</si>
  <si>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</si>
  <si>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</si>
  <si>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</si>
  <si>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</si>
  <si>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</si>
  <si>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</si>
  <si>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</si>
  <si>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</si>
  <si>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</si>
  <si>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</si>
  <si>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</si>
  <si>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</si>
  <si>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</si>
  <si>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</si>
  <si>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</si>
  <si>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</si>
  <si>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</si>
  <si>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</si>
  <si>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</si>
  <si>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</si>
  <si>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</si>
  <si>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</si>
  <si>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</si>
  <si>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</si>
  <si>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</si>
  <si>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</si>
  <si>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</si>
  <si>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</si>
  <si>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</si>
  <si>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</si>
  <si>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</si>
  <si>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</si>
  <si>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</si>
  <si>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</si>
  <si>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</si>
  <si>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</si>
  <si>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</si>
  <si>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</si>
  <si>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</si>
  <si>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</si>
  <si>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</si>
  <si>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</si>
  <si>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</si>
  <si>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</si>
  <si>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</si>
  <si>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</si>
  <si>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</si>
  <si>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</si>
  <si>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</si>
  <si>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</si>
  <si>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</si>
  <si>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</si>
  <si>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</si>
  <si>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</si>
  <si>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</si>
  <si>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</si>
  <si>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</si>
  <si>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</si>
  <si>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</si>
  <si>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</si>
  <si>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</si>
  <si>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</si>
  <si>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</si>
  <si>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</si>
  <si>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</si>
  <si>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</si>
  <si>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</si>
  <si>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</si>
  <si>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</si>
  <si>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</si>
  <si>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</si>
  <si>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</si>
  <si>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</si>
  <si>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</si>
  <si>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</si>
  <si>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</si>
  <si>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</si>
  <si>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</si>
  <si>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</si>
  <si>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</si>
  <si>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</si>
  <si>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</si>
  <si>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</si>
  <si>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</si>
  <si>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</si>
  <si>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</si>
  <si>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</si>
  <si>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</si>
  <si>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</si>
  <si>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</si>
  <si>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</si>
  <si>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</si>
  <si>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</si>
  <si>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</si>
  <si>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</si>
  <si>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</si>
  <si>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</si>
  <si>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</si>
  <si>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</si>
  <si>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</si>
  <si>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</si>
  <si>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</si>
  <si>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</si>
  <si>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</si>
  <si>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</si>
  <si>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</si>
  <si>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</si>
  <si>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</si>
  <si>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</si>
  <si>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</si>
  <si>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</si>
  <si>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</si>
  <si>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</si>
  <si>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</si>
  <si>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</si>
  <si>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</si>
  <si>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</si>
  <si>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</si>
  <si>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</si>
  <si>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</si>
  <si>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</si>
  <si>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</si>
  <si>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</si>
  <si>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</si>
  <si>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</si>
  <si>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</si>
  <si>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</si>
  <si>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</si>
  <si>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</si>
  <si>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</si>
  <si>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</si>
  <si>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</si>
  <si>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</si>
  <si>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</si>
  <si>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</si>
  <si>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</si>
  <si>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</si>
  <si>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</si>
  <si>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</si>
  <si>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</si>
  <si>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</si>
  <si>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</si>
  <si>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</si>
  <si>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</si>
  <si>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</si>
  <si>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</si>
  <si>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</si>
  <si>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</si>
  <si>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</si>
  <si>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</si>
  <si>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</si>
  <si>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</si>
  <si>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</si>
  <si>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</si>
  <si>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</si>
  <si>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</si>
  <si>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</si>
  <si>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</si>
  <si>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</si>
  <si>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</si>
  <si>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</si>
  <si>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</si>
  <si>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</si>
  <si>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</si>
  <si>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</si>
  <si>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</si>
  <si>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</si>
  <si>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</si>
  <si>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</si>
  <si>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</si>
  <si>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</si>
  <si>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</si>
  <si>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</si>
  <si>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</si>
  <si>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</si>
  <si>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</si>
  <si>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</si>
  <si>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</si>
  <si>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</si>
  <si>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</si>
  <si>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</si>
  <si>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</si>
  <si>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</si>
  <si>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</si>
  <si>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</si>
  <si>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</si>
  <si>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</si>
  <si>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</si>
  <si>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</si>
  <si>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</si>
  <si>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</si>
  <si>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</si>
  <si>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</si>
  <si>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</si>
  <si>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</si>
  <si>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</si>
  <si>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</si>
  <si>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</si>
  <si>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</si>
  <si>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</si>
  <si>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</si>
  <si>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</si>
  <si>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</si>
  <si>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</si>
  <si>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</si>
  <si>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</si>
  <si>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</si>
  <si>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</si>
  <si>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</si>
  <si>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</si>
  <si>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</si>
  <si>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</si>
  <si>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</si>
  <si>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</si>
  <si>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</si>
  <si>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</si>
  <si>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</si>
  <si>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</si>
  <si>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</si>
  <si>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</si>
  <si>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</si>
  <si>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</si>
  <si>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</si>
  <si>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</si>
  <si>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</si>
  <si>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</si>
  <si>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</si>
  <si>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</si>
  <si>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</si>
  <si>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</si>
  <si>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</si>
  <si>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</si>
  <si>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</si>
  <si>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</si>
  <si>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</si>
  <si>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</si>
  <si>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</si>
  <si>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</si>
  <si>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</si>
  <si>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</si>
  <si>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</si>
  <si>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</si>
  <si>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</si>
  <si>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</si>
  <si>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</si>
  <si>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</si>
  <si>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</si>
  <si>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</si>
  <si>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</si>
  <si>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</si>
  <si>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</si>
  <si>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</si>
  <si>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</si>
  <si>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</si>
  <si>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</si>
  <si>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</si>
  <si>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</si>
  <si>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</si>
  <si>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</si>
  <si>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</si>
  <si>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</si>
  <si>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</si>
  <si>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</si>
  <si>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</si>
  <si>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</si>
  <si>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</si>
  <si>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</si>
  <si>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</si>
  <si>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</si>
  <si>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</si>
  <si>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</si>
  <si>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</si>
  <si>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</si>
  <si>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</si>
  <si>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</si>
  <si>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</si>
  <si>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</si>
  <si>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</si>
  <si>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</si>
  <si>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</si>
  <si>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</si>
  <si>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</si>
  <si>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</si>
  <si>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</si>
  <si>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</si>
  <si>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</si>
  <si>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</si>
  <si>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</si>
  <si>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</si>
  <si>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</si>
  <si>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</si>
  <si>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</si>
  <si>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</si>
  <si>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</si>
  <si>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</si>
  <si>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</si>
  <si>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</si>
  <si>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</si>
  <si>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</si>
  <si>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</si>
  <si>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</si>
  <si>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</si>
  <si>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</si>
  <si>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</si>
  <si>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</si>
  <si>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</si>
  <si>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</si>
  <si>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</si>
  <si>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</si>
  <si>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</si>
  <si>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</si>
  <si>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</si>
  <si>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</si>
  <si>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</si>
  <si>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</si>
  <si>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</si>
  <si>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</si>
  <si>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</si>
  <si>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</si>
  <si>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</si>
  <si>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</si>
  <si>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</si>
  <si>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</si>
  <si>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</si>
  <si>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</si>
  <si>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</si>
  <si>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</si>
  <si>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</si>
  <si>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</si>
  <si>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</si>
  <si>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</si>
  <si>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</si>
  <si>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</si>
  <si>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</si>
  <si>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</si>
  <si>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</si>
  <si>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</si>
  <si>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</si>
  <si>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</si>
  <si>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</si>
  <si>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</si>
  <si>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</si>
  <si>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</si>
  <si>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</si>
  <si>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</si>
  <si>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</si>
  <si>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</si>
  <si>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</si>
  <si>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</si>
  <si>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</si>
  <si>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</si>
  <si>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</si>
  <si>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</si>
  <si>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</si>
  <si>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</si>
  <si>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</si>
  <si>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</si>
  <si>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</si>
  <si>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</si>
  <si>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</si>
  <si>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</si>
  <si>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</si>
  <si>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</si>
  <si>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</si>
  <si>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</si>
  <si>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</si>
  <si>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</si>
  <si>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</si>
  <si>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</si>
  <si>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</si>
  <si>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</si>
  <si>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</si>
  <si>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</si>
  <si>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</si>
  <si>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</si>
  <si>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</si>
  <si>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</si>
  <si>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</si>
  <si>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</si>
  <si>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</si>
  <si>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</si>
  <si>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</si>
  <si>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</si>
  <si>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</si>
  <si>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</si>
  <si>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</si>
  <si>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</si>
  <si>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</si>
  <si>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</si>
  <si>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</si>
  <si>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</si>
  <si>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</si>
  <si>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</si>
  <si>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</si>
  <si>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</si>
  <si>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</si>
  <si>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</si>
  <si>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</si>
  <si>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</si>
  <si>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</si>
  <si>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</si>
  <si>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</si>
  <si>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</si>
  <si>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</si>
  <si>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</si>
  <si>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</si>
  <si>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</si>
  <si>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</si>
  <si>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</si>
  <si>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</si>
  <si>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</si>
  <si>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</si>
  <si>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</si>
  <si>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</si>
  <si>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</si>
  <si>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</si>
  <si>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</si>
  <si>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</si>
  <si>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</si>
  <si>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</si>
  <si>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</si>
  <si>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</si>
  <si>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</si>
  <si>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</si>
  <si>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</si>
  <si>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</si>
  <si>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</si>
  <si>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</si>
  <si>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</si>
  <si>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</si>
  <si>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</si>
  <si>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</si>
  <si>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</si>
  <si>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</si>
  <si>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</si>
  <si>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</si>
  <si>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</si>
  <si>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</si>
  <si>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</si>
  <si>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</si>
  <si>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</si>
  <si>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</si>
  <si>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</si>
  <si>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</si>
  <si>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</si>
  <si>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</si>
  <si>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</si>
  <si>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</si>
  <si>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</si>
  <si>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</si>
  <si>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</si>
  <si>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</si>
  <si>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</si>
  <si>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</si>
  <si>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</si>
  <si>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</si>
  <si>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</si>
  <si>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</si>
  <si>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</si>
  <si>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</si>
  <si>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</si>
  <si>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</si>
  <si>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</si>
  <si>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</si>
  <si>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</si>
  <si>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</si>
  <si>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</si>
  <si>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</si>
  <si>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</si>
  <si>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</si>
  <si>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</si>
  <si>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</si>
  <si>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</si>
  <si>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</si>
  <si>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</si>
  <si>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</si>
  <si>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</si>
  <si>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</si>
  <si>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</si>
  <si>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</si>
  <si>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</si>
  <si>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</si>
  <si>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</si>
  <si>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</si>
  <si>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</si>
  <si>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</si>
  <si>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</si>
  <si>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</si>
  <si>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</si>
  <si>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</si>
  <si>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</si>
  <si>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</si>
  <si>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</si>
  <si>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</si>
  <si>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</si>
  <si>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</si>
  <si>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</si>
  <si>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</si>
  <si>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</si>
  <si>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</si>
  <si>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</si>
  <si>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</si>
  <si>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</si>
  <si>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</si>
  <si>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</si>
  <si>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</si>
  <si>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</si>
  <si>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</si>
  <si>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</si>
  <si>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</si>
  <si>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</si>
  <si>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</si>
  <si>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</si>
  <si>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</si>
  <si>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</si>
  <si>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</si>
  <si>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</si>
  <si>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</si>
  <si>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</si>
  <si>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</si>
  <si>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</si>
  <si>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</si>
  <si>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</si>
  <si>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</si>
  <si>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</si>
  <si>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</si>
  <si>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</si>
  <si>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</si>
  <si>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</si>
  <si>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</si>
  <si>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</si>
  <si>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</si>
  <si>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</si>
  <si>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</si>
  <si>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</si>
  <si>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</si>
  <si>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</si>
  <si>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</si>
  <si>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</si>
  <si>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</si>
  <si>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</si>
  <si>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</si>
  <si>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</si>
  <si>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</si>
  <si>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</si>
  <si>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</si>
  <si>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</si>
  <si>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</si>
  <si>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</si>
  <si>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</si>
  <si>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</si>
  <si>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</si>
  <si>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</si>
  <si>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</si>
  <si>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</si>
  <si>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</si>
  <si>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</si>
  <si>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</si>
  <si>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</si>
  <si>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</si>
  <si>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</si>
  <si>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</si>
  <si>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</si>
  <si>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</si>
  <si>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</si>
  <si>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</si>
  <si>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</si>
  <si>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</si>
  <si>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</si>
  <si>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</si>
  <si>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</si>
  <si>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</si>
  <si>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</si>
  <si>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</si>
  <si>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</si>
  <si>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</si>
  <si>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</si>
  <si>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</si>
  <si>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</si>
  <si>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</si>
  <si>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</si>
  <si>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</si>
  <si>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</si>
  <si>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</si>
  <si>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</si>
  <si>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</si>
  <si>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</si>
  <si>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</si>
  <si>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</si>
  <si>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</si>
  <si>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</si>
  <si>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</si>
  <si>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</si>
  <si>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</si>
  <si>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</si>
  <si>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</si>
  <si>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</si>
  <si>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</si>
  <si>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</si>
  <si>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</si>
  <si>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</si>
  <si>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</si>
  <si>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</si>
  <si>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</si>
  <si>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</si>
  <si>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</si>
  <si>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</si>
  <si>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</si>
  <si>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</si>
  <si>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</si>
  <si>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</si>
  <si>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</si>
  <si>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</si>
  <si>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</si>
  <si>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</si>
  <si>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</si>
  <si>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</si>
  <si>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</si>
  <si>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</si>
  <si>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</si>
  <si>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</si>
  <si>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</si>
  <si>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</si>
  <si>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</si>
  <si>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</si>
  <si>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</si>
  <si>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</si>
  <si>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</si>
  <si>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</si>
  <si>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</si>
  <si>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</si>
  <si>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</si>
  <si>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</si>
  <si>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</si>
  <si>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</si>
  <si>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</si>
  <si>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</si>
  <si>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</si>
  <si>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</si>
  <si>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</si>
  <si>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</si>
  <si>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</si>
  <si>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</si>
  <si>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</si>
  <si>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</si>
  <si>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</si>
  <si>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</si>
  <si>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</si>
  <si>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</si>
  <si>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</si>
  <si>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</si>
  <si>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</si>
  <si>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</si>
  <si>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</si>
  <si>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</si>
  <si>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</si>
  <si>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</si>
  <si>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</si>
  <si>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</si>
  <si>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</si>
  <si>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</si>
  <si>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</si>
  <si>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</si>
  <si>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</si>
  <si>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</si>
  <si>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</si>
  <si>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</si>
  <si>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</si>
  <si>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</si>
  <si>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</si>
  <si>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</si>
  <si>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</si>
  <si>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</si>
  <si>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</si>
  <si>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</si>
  <si>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</si>
  <si>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</si>
  <si>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</si>
  <si>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</si>
  <si>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</si>
  <si>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</si>
  <si>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</si>
  <si>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</si>
  <si>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</si>
  <si>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</si>
  <si>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</si>
  <si>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</si>
  <si>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</si>
  <si>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</si>
  <si>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</si>
  <si>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</si>
  <si>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</si>
  <si>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</si>
  <si>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</si>
  <si>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</si>
  <si>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</si>
  <si>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</si>
  <si>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</si>
  <si>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</si>
  <si>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</si>
  <si>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</si>
  <si>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</si>
  <si>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</si>
  <si>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</si>
  <si>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</si>
  <si>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</si>
  <si>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</si>
  <si>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</si>
  <si>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</si>
  <si>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</si>
  <si>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</si>
  <si>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</si>
  <si>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</si>
  <si>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</si>
  <si>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</si>
  <si>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</si>
  <si>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</si>
  <si>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</si>
  <si>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</si>
  <si>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</si>
  <si>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</si>
  <si>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</si>
  <si>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</si>
  <si>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</si>
  <si>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</si>
  <si>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</si>
  <si>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</si>
  <si>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</si>
  <si>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</si>
  <si>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</si>
  <si>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</si>
  <si>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</si>
  <si>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</si>
  <si>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</si>
  <si>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</si>
  <si>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</si>
  <si>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</si>
  <si>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</si>
  <si>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</si>
  <si>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</si>
  <si>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</si>
  <si>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</si>
  <si>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</si>
  <si>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</si>
  <si>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</si>
  <si>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</si>
  <si>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</si>
  <si>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</si>
  <si>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</si>
  <si>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</si>
  <si>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</si>
  <si>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</si>
  <si>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</si>
  <si>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</si>
  <si>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</si>
  <si>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</si>
  <si>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</si>
  <si>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</si>
  <si>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</si>
  <si>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</si>
  <si>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</si>
  <si>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</si>
  <si>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</si>
  <si>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</si>
  <si>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</si>
  <si>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</si>
  <si>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</si>
  <si>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</si>
  <si>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</si>
  <si>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</si>
  <si>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</si>
  <si>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</si>
  <si>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</si>
  <si>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</si>
  <si>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</si>
  <si>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</si>
  <si>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</si>
  <si>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</si>
  <si>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</si>
  <si>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</si>
  <si>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</si>
  <si>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</si>
  <si>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</si>
  <si>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</si>
  <si>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</si>
  <si>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</si>
  <si>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</si>
  <si>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</si>
  <si>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</si>
  <si>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</si>
  <si>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</si>
  <si>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</si>
  <si>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</si>
  <si>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</si>
  <si>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</si>
  <si>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</si>
  <si>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</si>
  <si>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</si>
  <si>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</si>
  <si>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</si>
  <si>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</si>
  <si>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</si>
  <si>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</si>
  <si>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</si>
  <si>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</si>
  <si>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</si>
  <si>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</si>
  <si>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</si>
  <si>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</si>
  <si>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</si>
  <si>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</si>
  <si>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</si>
  <si>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</si>
  <si>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</si>
  <si>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</si>
  <si>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</si>
  <si>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</si>
  <si>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</si>
  <si>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</si>
  <si>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</si>
  <si>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</si>
  <si>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</si>
  <si>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</si>
  <si>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</si>
  <si>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</si>
  <si>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</si>
  <si>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</si>
  <si>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</si>
  <si>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</si>
  <si>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</si>
  <si>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</si>
  <si>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</si>
  <si>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</si>
  <si>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</si>
  <si>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</si>
  <si>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</si>
  <si>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</si>
  <si>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</si>
  <si>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</si>
  <si>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</si>
  <si>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</si>
  <si>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</si>
  <si>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</si>
  <si>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</si>
  <si>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</si>
  <si>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</si>
  <si>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</si>
  <si>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</si>
  <si>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</si>
  <si>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</si>
  <si>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</si>
  <si>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</si>
  <si>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</si>
  <si>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</si>
  <si>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</si>
  <si>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</si>
  <si>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</si>
  <si>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</si>
  <si>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</si>
  <si>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</si>
  <si>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</si>
  <si>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</si>
  <si>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</si>
  <si>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</si>
  <si>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</si>
  <si>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</si>
  <si>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</si>
  <si>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</si>
  <si>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</si>
  <si>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</si>
  <si>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</si>
  <si>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</si>
  <si>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</si>
  <si>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</si>
  <si>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</si>
  <si>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</si>
  <si>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</si>
  <si>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</si>
  <si>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</si>
  <si>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</si>
  <si>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</si>
  <si>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</si>
  <si>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</si>
  <si>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</si>
  <si>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</si>
  <si>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</si>
  <si>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</si>
  <si>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</si>
  <si>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</si>
  <si>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</si>
  <si>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</si>
  <si>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</si>
  <si>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</si>
  <si>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</si>
  <si>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</si>
  <si>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</si>
  <si>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</si>
  <si>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</si>
  <si>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</si>
  <si>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</si>
  <si>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</si>
  <si>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</si>
  <si>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</si>
  <si>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</si>
  <si>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</si>
  <si>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</si>
  <si>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</si>
  <si>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</si>
  <si>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</si>
  <si>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</si>
  <si>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</si>
  <si>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</si>
  <si>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</si>
  <si>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</si>
  <si>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</si>
  <si>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</si>
  <si>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</si>
  <si>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</si>
  <si>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</si>
  <si>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</si>
  <si>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</si>
  <si>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</si>
  <si>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</si>
  <si>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</si>
  <si>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</si>
  <si>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</si>
  <si>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</si>
  <si>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</si>
  <si>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</si>
  <si>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</si>
  <si>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</si>
  <si>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</si>
  <si>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</si>
  <si>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</si>
  <si>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</si>
  <si>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</si>
  <si>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</si>
  <si>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</si>
  <si>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</si>
  <si>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</si>
  <si>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</si>
  <si>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</si>
  <si>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</si>
  <si>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</si>
  <si>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</si>
  <si>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</si>
  <si>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</si>
  <si>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</si>
  <si>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</si>
  <si>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</si>
  <si>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</si>
  <si>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</si>
  <si>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</si>
  <si>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</si>
  <si>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</si>
  <si>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</si>
  <si>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</si>
  <si>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</si>
  <si>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</si>
  <si>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</si>
  <si>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</si>
  <si>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</si>
  <si>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</si>
  <si>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</si>
  <si>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</si>
  <si>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</si>
  <si>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</si>
  <si>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</si>
  <si>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</si>
  <si>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</si>
  <si>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</si>
  <si>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</si>
  <si>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</si>
  <si>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</si>
  <si>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</si>
  <si>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</si>
  <si>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</si>
  <si>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</si>
  <si>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</si>
  <si>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</si>
  <si>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</si>
  <si>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</si>
  <si>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</si>
  <si>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</si>
  <si>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</si>
  <si>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</si>
  <si>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</si>
  <si>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</si>
  <si>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</si>
  <si>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</si>
  <si>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</si>
  <si>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</si>
  <si>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</si>
  <si>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</si>
  <si>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</si>
  <si>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</si>
  <si>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</si>
  <si>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</si>
  <si>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</si>
  <si>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</si>
  <si>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</si>
  <si>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</si>
  <si>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</si>
  <si>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</si>
  <si>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</si>
  <si>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</si>
  <si>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</si>
  <si>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</si>
  <si>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</si>
  <si>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</si>
  <si>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</si>
  <si>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</si>
  <si>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</si>
  <si>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</si>
  <si>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</si>
  <si>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</si>
  <si>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</si>
  <si>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</si>
  <si>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</si>
  <si>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</si>
  <si>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</si>
  <si>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</si>
  <si>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</si>
  <si>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</si>
  <si>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</si>
  <si>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</si>
  <si>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</si>
  <si>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</si>
  <si>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</si>
  <si>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</si>
  <si>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</si>
  <si>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</si>
  <si>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</si>
  <si>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</si>
  <si>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</si>
  <si>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</si>
  <si>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</si>
  <si>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</si>
  <si>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 xml:space="preserve">   ISBE Form SD50-35/JA50-60 (05/18-version2)</t>
  </si>
  <si>
    <t>x</t>
  </si>
  <si>
    <t>Meister, Hilton, Chitwood &amp; Associates,  Inc.</t>
  </si>
  <si>
    <t>Ron Hilton</t>
  </si>
  <si>
    <t>809 W. Detweiller Drive, Suite 804</t>
  </si>
  <si>
    <t>Peoria</t>
  </si>
  <si>
    <t>IL</t>
  </si>
  <si>
    <t>(309) 683-0441</t>
  </si>
  <si>
    <t>(309) 692-0492</t>
  </si>
  <si>
    <t>ron.hilton1@comcast.net</t>
  </si>
  <si>
    <t>066-004769</t>
  </si>
  <si>
    <t>Galesburg</t>
  </si>
  <si>
    <t>Knox and Warren</t>
  </si>
  <si>
    <t>311 East Main Street, Suite 632</t>
  </si>
  <si>
    <t>kdeschamps@kwsed.org</t>
  </si>
  <si>
    <t>Kim Deschamps</t>
  </si>
  <si>
    <t>(309) 351-7224</t>
  </si>
  <si>
    <t>Meister, Hilton, Chitwood &amp; Associates, Inc.</t>
  </si>
  <si>
    <t>Prairie State Insurance Cooperative</t>
  </si>
  <si>
    <t>A</t>
  </si>
  <si>
    <t>A. Knoxville #202, ROWVA #208, Williamsfield #210, Abingdon-Avon #276, Monmouth-Roseville #238, United #304</t>
  </si>
  <si>
    <t>Page 11. Other Local Revenues (Acct 1999):  Reimbursements from member districts $9,548, Refunds $1,609</t>
  </si>
  <si>
    <t xml:space="preserve">Page 12. Other Restricted Revenue from State Sources (Acct 3999) - Case Services to Individuals - STEP </t>
  </si>
  <si>
    <t xml:space="preserve">                 Third Party Base Plus Performance grant $53,091</t>
  </si>
  <si>
    <t>US Department of Education:</t>
  </si>
  <si>
    <t xml:space="preserve">  Passed through the Illinois State Board of Education:</t>
  </si>
  <si>
    <r>
      <rPr>
        <sz val="8"/>
        <rFont val="Arial"/>
        <family val="2"/>
      </rPr>
      <t xml:space="preserve">PreSchool Flow-through </t>
    </r>
    <r>
      <rPr>
        <b/>
        <sz val="8"/>
        <rFont val="Arial"/>
        <family val="2"/>
      </rPr>
      <t xml:space="preserve"> (M)</t>
    </r>
  </si>
  <si>
    <t>2018-4600</t>
  </si>
  <si>
    <t>Special Education Cluster:</t>
  </si>
  <si>
    <r>
      <rPr>
        <sz val="8"/>
        <rFont val="Arial"/>
        <family val="2"/>
      </rPr>
      <t xml:space="preserve">IDEA Flow-through </t>
    </r>
    <r>
      <rPr>
        <b/>
        <sz val="8"/>
        <rFont val="Arial"/>
        <family val="2"/>
      </rPr>
      <t xml:space="preserve"> (M)</t>
    </r>
  </si>
  <si>
    <t>2018-4620</t>
  </si>
  <si>
    <t>Total US Department of Education passed through the Illinois State Board of Education</t>
  </si>
  <si>
    <t>US Department of Health and Human Services:</t>
  </si>
  <si>
    <t xml:space="preserve">  Passed through the Illinois Department of Healthcare and Family Services:</t>
  </si>
  <si>
    <t xml:space="preserve">   Medicaid Administrative Outreach</t>
  </si>
  <si>
    <t>N/A</t>
  </si>
  <si>
    <t>Total expenditures of federal awards</t>
  </si>
  <si>
    <t>None</t>
  </si>
  <si>
    <r>
      <t xml:space="preserve">The accompanying Schedule of Expenditures of Federal Awards includes the federal grant activity of </t>
    </r>
    <r>
      <rPr>
        <b/>
        <sz val="9"/>
        <rFont val="Calibri"/>
        <family val="2"/>
        <scheme val="minor"/>
      </rPr>
      <t>Knox Warren Special Education District</t>
    </r>
    <r>
      <rPr>
        <sz val="9"/>
        <rFont val="Calibri"/>
        <family val="2"/>
        <scheme val="minor"/>
      </rPr>
      <t xml:space="preserve"> and is presented on the Modified-Accrual</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</si>
  <si>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 xml:space="preserve"> Knox Warren Special Education District </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</si>
  <si>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</si>
  <si>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 xml:space="preserve"> Knox Warren Special Education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</si>
  <si>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Adverse-GAAP basis, Unmodified-Regulatory basis</t>
  </si>
  <si>
    <t>Special Education Cluster</t>
  </si>
  <si>
    <t>84.027,  84.173</t>
  </si>
  <si>
    <t>Effective internal controls should be implemented to ensure that an adequate segregation of duties over the accounting function exists.  Responsibilities for authorizing, approving, executing and recording transactions in the general ledger should be segregated between two or more individuals.</t>
  </si>
  <si>
    <t>The District has one office personnel that is involved in the accounting function.  Therefore, the District does not have an adequate segregation of duties over accounting transactions as the employee is responsible for initiating and recording transactions in the general ledger as well as performing reconciliations.</t>
  </si>
  <si>
    <t>One employee is responsible for most aspects of the disbursement and payroll functions and also responsible for recording these transactions in the general ledger.</t>
  </si>
  <si>
    <t>This condition increases the possibility that errors or fraud may occur and not be detected on a timely basis.</t>
  </si>
  <si>
    <t>Due to the small size of the District, duties have been segregated to the extent possible.  Duties have been assigned based on the experience and availability of office personnel.</t>
  </si>
  <si>
    <t>When this condition exists, the Director’s and Executive Board's close oversight and review of accounting information on a regular basis is the best means of preventing or detecting errors or fraud.</t>
  </si>
  <si>
    <t>Due to the small size of the District, it is not practical to hire additional personnel solely for the purpose of achieving an ideal segregation of duties over the accounting function.  Some segregation of duties has occurred to the extent possible.</t>
  </si>
  <si>
    <t>In an ideal control setting, the District would have personnel possessing a thorough understanding of applicable generally accepted accounting principles and staying abreast of recent accounting developments.  Such personnel would perform a comprehensive review procedure to ensure that the preparation of its annual financial statements, including disclosures, are complete and accurate.</t>
  </si>
  <si>
    <t>The Executive Board and management share the ultimate responsibility for the District's internal control system.  While it is acceptable to outsource various accounting functions, the responsibility for internal control cannot be outsourced to the external auditors and still be considered part of the on-going internal control of the organization.  The District engages the external auditors to assist in preparing its financial statements and accompanying disclosures.  However, as independent auditors, external auditors cannot be considered part of the District's internal control system.</t>
  </si>
  <si>
    <t>The overall internal controls over the District's accounting system are not adequate to ensure that misstatements caused by error or fraud, in amounts that would be material to the financial statements, may occur and not be detected within a timely period by employees in the normal course of performing their assigned functions.</t>
  </si>
  <si>
    <t>Significant errors and/or omissions were not discovered by District employees and corrections were not made to the  general ledger until the annual audit was performed at the end of the fiscal year.  This resulted in inaccurate financial information being recorded in the general ledger for most of the year.</t>
  </si>
  <si>
    <t>Reconciliation of many of the general ledger accounts to the underlying supporting documentation was not performed during the year (accounts receivable, payroll withholding liabilities and liability accounts).   In addition,  the bank reconciliation was not reconciled on a regular basis throughout the year .</t>
  </si>
  <si>
    <t>Lack of a process/control to ensure asset and liability accounts are reconciled regularly.   Lack of a process/control and training to ensure transactions are assigned to proper accounts.  Inadequate and untimely detailed reviews performed to ensure expenditures have been assigned to proper GL accounts and reconciliations were being performed.</t>
  </si>
  <si>
    <t>The Director and Executive Board will meet to determine and implement control procedures to ensure that misstatements or errors are found in a timely manner and corrected.</t>
  </si>
  <si>
    <t>Illinois State Board of Education</t>
  </si>
  <si>
    <t>Department of Education</t>
  </si>
  <si>
    <t>Pre-School Flow-Through and IDEA Flow-Through (Special Education Cluster) 2018</t>
  </si>
  <si>
    <t>84.173 and 84.027</t>
  </si>
  <si>
    <t>2018-4600, 2018-4620</t>
  </si>
  <si>
    <t>It is possible that a misstatement of the District's financial statements could occur and not be prevented or detected by the District's internal control over financial reporting.</t>
  </si>
  <si>
    <t>We make no recommendation as to whether management should or should not invest in additional personnel or additional training for existing personnel to acquire the capacity to maintain the level of expertise necessary to prepare financial statements in accordance with generally accepted accounting principles including all disclosures.</t>
  </si>
  <si>
    <t>The District does not currently have qualified personnel to perform a complete review of the District's drafted financial statements.  In addition, it is not economically practical to hire an outside consultant to conduct this review.  The District believes that management's review of the balances and amounts are adequate in the circumstances and no additional procedures are considered necessary.</t>
  </si>
  <si>
    <t>Unmodified</t>
  </si>
  <si>
    <t>We recommend that general ledger accounts be reconciled on a regular basis with all reconciling items being investigated, resolved, and appropriate adjustments be made to the general ledger.  In addition, someone other than the individual who is responsible for the preparation of the reconciliations should review the reconciliations for propriety.  The District should also re-evaluate controls to determine they are functioning effectively to detect errors or fraud on a timely basis.  We also recommend that training is performed to enhance the overall accounting and reconciliation processes.</t>
  </si>
  <si>
    <t>Knox-Warren's former administrative agent withdrew from the Cooperative effective 6/30/2017.  The former administrative agent performed all accounting, human resources, reconciliation and reporting functions for the District.  Due to the withdrawal of the administrative agent, the remaining  districts were forced to establish a new cooperative effective 7/1/17 with a new accounting software system being implemented, new accounting personnel and new internal  controls being established in fiscal year 2017-18.  The system of internal controls established were ineffective or insufficient to ensure that misstatements caused by error or fraud were detected on a timely basis.</t>
  </si>
  <si>
    <t>The District prepares non-full disclosure financial reports (i.e. without note disclosure) on a monthly basis.  Changes in accounting standards may not be identified and implemented by the Executive Board and management.</t>
  </si>
  <si>
    <t>Due to the small size of the District, the District has not made it a practice to send District officials or other personnel to training classes to update them on the on-going changes and complexities of the reporting requirements of generally accepted accounting principles applicable to governmental entities.</t>
  </si>
  <si>
    <t>Knox-Warren's former administrative agent withdrew from the Cooperative effective 6/30/2017.  The former administrative agent performed all accounting, human resource and reporting functions for the District.  Due to the withdrawal of the administrative agent, the remaining  districts were forced to establish a new cooperative with a new accounting software system being implemented and new internal  controls being established in fiscal year 2017-18.  The system of internal controls established were ineffective or insufficient to ensure that misstatements caused by error or fraud were detected on a timely basis.</t>
  </si>
  <si>
    <t xml:space="preserve">2.  The District did not have a Treasurer's bond from July to November 2017.  From December 2017 to June 2018, the District did not have the required amount for the Treasurer's bond.                                                                                                                                                                                                                                                                                                                                                                                                                                                                    23. These financial statements were prepared in accordance with the regulatory provisions prescribed by the Illinois State Board of Education, which is a comprehensive basis of accounting other than generally accepted accounting principles.  </t>
  </si>
  <si>
    <t>Knox Warren SpEd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</si>
</sst>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top style="thin">
        <color indexed="55"/>
      </top>
      <bottom style="thin">
        <color indexed="64"/>
      </bottom>
      <diagonal/>
    </border>
    <border>
      <left/>
      <right style="thin">
        <color indexed="55"/>
      </right>
      <top style="thin">
        <color indexed="55"/>
      </top>
      <bottom style="thin">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 fontId="11" fillId="0" borderId="22" xfId="3" applyNumberFormat="1" applyFont="1" applyBorder="1" applyAlignment="1" applyProtection="1">
      <alignment horizontal="left" vertical="center" wrapText="1"/>
      <protection locked="0"/>
    </xf>
    <xf numFmtId="3" fontId="11" fillId="0" borderId="22" xfId="3" applyNumberFormat="1" applyFont="1" applyBorder="1" applyAlignment="1" applyProtection="1">
      <alignment horizontal="left" vertical="center"/>
      <protection locked="0"/>
    </xf>
    <xf numFmtId="3" fontId="10" fillId="0" borderId="22" xfId="3" applyNumberFormat="1" applyFont="1" applyBorder="1" applyAlignment="1" applyProtection="1">
      <alignment horizontal="left" vertical="center" wrapText="1"/>
      <protection locked="0"/>
    </xf>
    <xf numFmtId="3" fontId="61" fillId="0" borderId="166" xfId="3" applyNumberFormat="1" applyFont="1" applyBorder="1" applyAlignment="1" applyProtection="1">
      <alignment horizontal="center"/>
      <protection locked="0"/>
    </xf>
    <xf numFmtId="3" fontId="61" fillId="0" borderId="167" xfId="3" applyNumberFormat="1" applyFont="1" applyBorder="1" applyAlignment="1" applyProtection="1">
      <alignment horizontal="center"/>
      <protection locked="0"/>
    </xf>
    <xf numFmtId="3" fontId="61" fillId="0" borderId="168"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2" fillId="0" borderId="158" xfId="17" applyFont="1" applyBorder="1" applyAlignment="1" applyProtection="1">
      <alignment vertical="top"/>
      <protection locked="0"/>
    </xf>
    <xf numFmtId="0" fontId="2" fillId="0" borderId="158" xfId="17" applyFont="1" applyBorder="1" applyAlignment="1" applyProtection="1">
      <alignment horizontal="left" vertical="top" wrapText="1"/>
      <protection locked="0"/>
    </xf>
    <xf numFmtId="0" fontId="53" fillId="0" borderId="148" xfId="3" applyFont="1" applyBorder="1" applyAlignment="1" applyProtection="1">
      <alignment horizontal="center"/>
      <protection locked="0"/>
    </xf>
    <xf numFmtId="0" fontId="64" fillId="0" borderId="0" xfId="3" applyFont="1" applyAlignment="1" applyProtection="1">
      <alignment horizontal="center"/>
      <protection locked="0"/>
    </xf>
    <xf numFmtId="49" fontId="1" fillId="0" borderId="158" xfId="17" applyNumberFormat="1" applyFont="1" applyBorder="1" applyAlignment="1" applyProtection="1">
      <alignment horizontal="center"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9</xdr:row>
          <xdr:rowOff>161925</xdr:rowOff>
        </xdr:to>
        <xdr:sp macro="" textlink="">
          <xdr:nvSpPr>
            <xdr:cNvPr id="37889" name="Object 1" hidden="1">
              <a:extLst>
                <a:ext uri="{63B3BB69-23CF-44E3-9099-C40C66FF867C}">
                  <a14:compatExt spid="_x0000_s378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1247775</xdr:colOff>
          <xdr:row>5</xdr:row>
          <xdr:rowOff>104775</xdr:rowOff>
        </xdr:from>
        <xdr:to>
          <xdr:col>1</xdr:col>
          <xdr:colOff>2162175</xdr:colOff>
          <xdr:row>10</xdr:row>
          <xdr:rowOff>19050</xdr:rowOff>
        </xdr:to>
        <xdr:sp macro="" textlink="">
          <xdr:nvSpPr>
            <xdr:cNvPr id="37890" name="Object 2" hidden="1">
              <a:extLst>
                <a:ext uri="{63B3BB69-23CF-44E3-9099-C40C66FF867C}">
                  <a14:compatExt spid="_x0000_s378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0" t="s">
        <v>425</v>
      </c>
      <c r="J1" s="2011"/>
      <c r="K1" s="2011"/>
      <c r="L1" s="2011"/>
      <c r="M1" s="2011"/>
      <c r="N1" s="2011"/>
      <c r="O1" s="2011"/>
      <c r="P1" s="2011"/>
      <c r="Q1" s="2011"/>
      <c r="R1" s="2011"/>
      <c r="S1" s="2011"/>
    </row>
    <row r="2" spans="1:28" ht="12" customHeight="1" x14ac:dyDescent="0.2">
      <c r="A2" s="47" t="s">
        <v>1684</v>
      </c>
      <c r="D2" s="48"/>
      <c r="I2" s="2012" t="s">
        <v>1036</v>
      </c>
      <c r="J2" s="2011"/>
      <c r="K2" s="2011"/>
      <c r="L2" s="2011"/>
      <c r="M2" s="2011"/>
      <c r="N2" s="2011"/>
      <c r="O2" s="2011"/>
      <c r="P2" s="2011"/>
      <c r="Q2" s="2011"/>
      <c r="R2" s="2011"/>
      <c r="S2" s="2011"/>
    </row>
    <row r="3" spans="1:28" ht="12" customHeight="1" x14ac:dyDescent="0.2">
      <c r="A3" s="155" t="s">
        <v>1685</v>
      </c>
      <c r="B3" s="156"/>
      <c r="C3" s="156"/>
      <c r="D3" s="157"/>
      <c r="I3" s="2012" t="s">
        <v>54</v>
      </c>
      <c r="J3" s="2011"/>
      <c r="K3" s="2011"/>
      <c r="L3" s="2011"/>
      <c r="M3" s="2011"/>
      <c r="N3" s="2011"/>
      <c r="O3" s="2011"/>
      <c r="P3" s="2011"/>
      <c r="Q3" s="2011"/>
      <c r="R3" s="2011"/>
      <c r="S3" s="2011"/>
    </row>
    <row r="4" spans="1:28" ht="12" customHeight="1" x14ac:dyDescent="0.2">
      <c r="A4" s="37"/>
      <c r="I4" s="2012" t="s">
        <v>545</v>
      </c>
      <c r="J4" s="2011"/>
      <c r="K4" s="2011"/>
      <c r="L4" s="2011"/>
      <c r="M4" s="2011"/>
      <c r="N4" s="2011"/>
      <c r="O4" s="2011"/>
      <c r="P4" s="2011"/>
      <c r="Q4" s="2011"/>
      <c r="R4" s="2011"/>
      <c r="S4" s="2011"/>
    </row>
    <row r="5" spans="1:28" ht="14.1" customHeight="1" x14ac:dyDescent="0.2">
      <c r="B5" s="104"/>
      <c r="C5" s="26" t="s">
        <v>966</v>
      </c>
      <c r="D5" s="84"/>
      <c r="E5" s="84"/>
      <c r="H5" s="38"/>
      <c r="I5" s="2020" t="s">
        <v>701</v>
      </c>
      <c r="J5" s="2019"/>
      <c r="K5" s="2019"/>
      <c r="L5" s="2019"/>
      <c r="M5" s="2019"/>
      <c r="N5" s="2019"/>
      <c r="O5" s="2019"/>
      <c r="P5" s="2019"/>
      <c r="Q5" s="2019"/>
      <c r="R5" s="2019"/>
      <c r="S5" s="2019"/>
    </row>
    <row r="6" spans="1:28" ht="14.1" customHeight="1" x14ac:dyDescent="0.2">
      <c r="B6" s="104" t="s">
        <v>2074</v>
      </c>
      <c r="C6" s="26" t="s">
        <v>967</v>
      </c>
      <c r="D6" s="84"/>
      <c r="E6" s="84"/>
      <c r="I6" s="2018" t="s">
        <v>938</v>
      </c>
      <c r="J6" s="2019"/>
      <c r="K6" s="2019"/>
      <c r="L6" s="2019"/>
      <c r="M6" s="2019"/>
      <c r="N6" s="2019"/>
      <c r="O6" s="2019"/>
      <c r="P6" s="2019"/>
      <c r="Q6" s="2019"/>
      <c r="R6" s="2019"/>
      <c r="S6" s="2019"/>
    </row>
    <row r="7" spans="1:28" ht="12.2" customHeight="1" x14ac:dyDescent="0.2">
      <c r="I7" s="2013">
        <v>43281</v>
      </c>
      <c r="J7" s="2014"/>
      <c r="K7" s="2014"/>
      <c r="L7" s="2014"/>
      <c r="M7" s="2014"/>
      <c r="N7" s="2014"/>
      <c r="O7" s="2014"/>
      <c r="P7" s="2014"/>
      <c r="Q7" s="2014"/>
      <c r="R7" s="2014"/>
      <c r="S7" s="201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5" t="s">
        <v>695</v>
      </c>
      <c r="J9" s="2016"/>
      <c r="K9" s="2016"/>
      <c r="L9" s="2016"/>
      <c r="M9" s="2016"/>
      <c r="N9" s="2016"/>
      <c r="O9" s="2016"/>
      <c r="P9" s="2016"/>
      <c r="Q9" s="2016"/>
      <c r="R9" s="2016"/>
      <c r="S9" s="2017"/>
      <c r="T9" s="2031" t="s">
        <v>554</v>
      </c>
      <c r="U9" s="2032"/>
      <c r="V9" s="2032"/>
      <c r="W9" s="2032"/>
      <c r="X9" s="2032"/>
      <c r="Y9" s="2032"/>
      <c r="Z9" s="2032"/>
      <c r="AA9" s="2033"/>
    </row>
    <row r="10" spans="1:28" ht="13.5" customHeight="1" x14ac:dyDescent="0.2">
      <c r="A10" s="2038" t="s">
        <v>696</v>
      </c>
      <c r="B10" s="2039"/>
      <c r="C10" s="2039"/>
      <c r="D10" s="2039"/>
      <c r="E10" s="2039"/>
      <c r="F10" s="2039"/>
      <c r="G10" s="2039"/>
      <c r="H10" s="2040"/>
      <c r="I10" s="29"/>
      <c r="J10" s="30"/>
      <c r="K10" s="28"/>
      <c r="R10" s="30"/>
      <c r="S10" s="30"/>
      <c r="T10" s="2034"/>
      <c r="U10" s="2019"/>
      <c r="V10" s="2019"/>
      <c r="W10" s="2019"/>
      <c r="X10" s="2019"/>
      <c r="Y10" s="2019"/>
      <c r="Z10" s="2019"/>
      <c r="AA10" s="2025"/>
    </row>
    <row r="11" spans="1:28" ht="14.25" customHeight="1" x14ac:dyDescent="0.2">
      <c r="A11" s="2041" t="s">
        <v>1012</v>
      </c>
      <c r="B11" s="2042"/>
      <c r="C11" s="2042"/>
      <c r="D11" s="2042"/>
      <c r="E11" s="2042"/>
      <c r="F11" s="2042"/>
      <c r="G11" s="2042"/>
      <c r="H11" s="2043"/>
      <c r="I11" s="27"/>
      <c r="J11" s="74"/>
      <c r="K11" s="27"/>
      <c r="O11" s="148"/>
      <c r="P11" s="100" t="s">
        <v>210</v>
      </c>
      <c r="Q11" s="30"/>
      <c r="R11" s="28"/>
      <c r="S11" s="27"/>
      <c r="T11" s="2035"/>
      <c r="U11" s="2036"/>
      <c r="V11" s="2036"/>
      <c r="W11" s="2036"/>
      <c r="X11" s="2036"/>
      <c r="Y11" s="2036"/>
      <c r="Z11" s="2036"/>
      <c r="AA11" s="2037"/>
    </row>
    <row r="12" spans="1:28" ht="13.5" customHeight="1" x14ac:dyDescent="0.2">
      <c r="A12" s="85" t="s">
        <v>982</v>
      </c>
      <c r="B12" s="76"/>
      <c r="C12" s="76"/>
      <c r="D12" s="76"/>
      <c r="E12" s="76"/>
      <c r="F12" s="76"/>
      <c r="G12" s="76"/>
      <c r="H12" s="53"/>
      <c r="I12" s="29"/>
      <c r="J12" s="30"/>
      <c r="K12" s="28"/>
      <c r="O12" s="149" t="s">
        <v>2074</v>
      </c>
      <c r="P12" s="100" t="s">
        <v>211</v>
      </c>
      <c r="Q12" s="74"/>
      <c r="R12" s="30"/>
      <c r="S12" s="30"/>
      <c r="T12" s="85" t="s">
        <v>283</v>
      </c>
      <c r="U12" s="51"/>
      <c r="V12" s="51"/>
      <c r="W12" s="51"/>
      <c r="X12" s="51"/>
      <c r="Y12" s="45"/>
      <c r="Z12" s="45"/>
      <c r="AA12" s="46"/>
    </row>
    <row r="13" spans="1:28" ht="13.5" customHeight="1" x14ac:dyDescent="0.2">
      <c r="A13" s="2045">
        <v>33048801060</v>
      </c>
      <c r="B13" s="2046"/>
      <c r="C13" s="2046"/>
      <c r="D13" s="2046"/>
      <c r="E13" s="2046"/>
      <c r="F13" s="2046"/>
      <c r="G13" s="2046"/>
      <c r="H13" s="2047"/>
      <c r="I13" s="31"/>
      <c r="J13" s="30"/>
      <c r="K13" s="28"/>
      <c r="L13" s="30"/>
      <c r="M13" s="30"/>
      <c r="N13" s="30"/>
      <c r="O13" s="30"/>
      <c r="P13" s="30"/>
      <c r="Q13" s="30"/>
      <c r="R13" s="30"/>
      <c r="S13" s="30"/>
      <c r="T13" s="2050" t="s">
        <v>2075</v>
      </c>
      <c r="U13" s="2051"/>
      <c r="V13" s="2051"/>
      <c r="W13" s="2051"/>
      <c r="X13" s="2051"/>
      <c r="Y13" s="2052"/>
      <c r="Z13" s="2052"/>
      <c r="AA13" s="205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4" t="s">
        <v>2085</v>
      </c>
      <c r="B15" s="2048"/>
      <c r="C15" s="2048"/>
      <c r="D15" s="2048"/>
      <c r="E15" s="2048"/>
      <c r="F15" s="2048"/>
      <c r="G15" s="2048"/>
      <c r="H15" s="2049"/>
      <c r="T15" s="2054" t="s">
        <v>2076</v>
      </c>
      <c r="U15" s="1998"/>
      <c r="V15" s="1998"/>
      <c r="W15" s="1998"/>
      <c r="X15" s="1998"/>
      <c r="Y15" s="2055"/>
      <c r="Z15" s="2055"/>
      <c r="AA15" s="205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4" t="s">
        <v>2147</v>
      </c>
      <c r="B17" s="2005"/>
      <c r="C17" s="2005"/>
      <c r="D17" s="2005"/>
      <c r="E17" s="2005"/>
      <c r="F17" s="2005"/>
      <c r="G17" s="2005"/>
      <c r="H17" s="2030"/>
      <c r="T17" s="2061" t="s">
        <v>2077</v>
      </c>
      <c r="U17" s="2062"/>
      <c r="V17" s="2062"/>
      <c r="W17" s="2062"/>
      <c r="X17" s="2062"/>
      <c r="Y17" s="2062"/>
      <c r="Z17" s="2062"/>
      <c r="AA17" s="2063"/>
    </row>
    <row r="18" spans="1:27" ht="13.5" customHeight="1" x14ac:dyDescent="0.2">
      <c r="A18" s="85" t="s">
        <v>551</v>
      </c>
      <c r="B18" s="76"/>
      <c r="C18" s="72"/>
      <c r="D18" s="76"/>
      <c r="E18" s="76"/>
      <c r="F18" s="76"/>
      <c r="G18" s="76"/>
      <c r="H18" s="56"/>
      <c r="I18" s="2029" t="s">
        <v>697</v>
      </c>
      <c r="J18" s="1980"/>
      <c r="K18" s="1980"/>
      <c r="L18" s="1980"/>
      <c r="M18" s="1980"/>
      <c r="N18" s="1980"/>
      <c r="O18" s="1980"/>
      <c r="P18" s="1980"/>
      <c r="Q18" s="1980"/>
      <c r="R18" s="1980"/>
      <c r="S18" s="1981"/>
      <c r="T18" s="85" t="s">
        <v>735</v>
      </c>
      <c r="U18" s="51"/>
      <c r="V18" s="72"/>
      <c r="W18" s="50"/>
      <c r="X18" s="85" t="s">
        <v>284</v>
      </c>
      <c r="Y18" s="81"/>
      <c r="Z18" s="159" t="s">
        <v>698</v>
      </c>
      <c r="AA18" s="46"/>
    </row>
    <row r="19" spans="1:27" ht="13.5" customHeight="1" x14ac:dyDescent="0.2">
      <c r="A19" s="2044" t="s">
        <v>2086</v>
      </c>
      <c r="B19" s="1990"/>
      <c r="C19" s="1990"/>
      <c r="D19" s="1990"/>
      <c r="E19" s="1990"/>
      <c r="F19" s="1990"/>
      <c r="G19" s="1990"/>
      <c r="H19" s="1970"/>
      <c r="I19" s="30"/>
      <c r="J19" s="99"/>
      <c r="K19" s="40"/>
      <c r="L19" s="38"/>
      <c r="M19" s="112" t="s">
        <v>333</v>
      </c>
      <c r="P19" s="27"/>
      <c r="Q19" s="27"/>
      <c r="R19" s="27"/>
      <c r="S19" s="31"/>
      <c r="T19" s="2044" t="s">
        <v>2078</v>
      </c>
      <c r="U19" s="1969"/>
      <c r="V19" s="1969"/>
      <c r="W19" s="1970"/>
      <c r="X19" s="2059" t="s">
        <v>2079</v>
      </c>
      <c r="Y19" s="2060"/>
      <c r="Z19" s="2057">
        <v>61615</v>
      </c>
      <c r="AA19" s="205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8" t="s">
        <v>2084</v>
      </c>
      <c r="B21" s="1969"/>
      <c r="C21" s="1969"/>
      <c r="D21" s="1969"/>
      <c r="E21" s="1969"/>
      <c r="F21" s="1969"/>
      <c r="G21" s="1969"/>
      <c r="H21" s="1970"/>
      <c r="I21" s="2024" t="s">
        <v>699</v>
      </c>
      <c r="J21" s="2019"/>
      <c r="K21" s="2019"/>
      <c r="L21" s="2019"/>
      <c r="M21" s="2019"/>
      <c r="N21" s="2019"/>
      <c r="O21" s="2019"/>
      <c r="P21" s="2019"/>
      <c r="Q21" s="2019"/>
      <c r="R21" s="2019"/>
      <c r="S21" s="2025"/>
      <c r="T21" s="2068" t="s">
        <v>2080</v>
      </c>
      <c r="U21" s="2069"/>
      <c r="V21" s="2069"/>
      <c r="W21" s="2069"/>
      <c r="X21" s="2074" t="s">
        <v>2081</v>
      </c>
      <c r="Y21" s="2075"/>
      <c r="Z21" s="2075"/>
      <c r="AA21" s="2076"/>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1" t="s">
        <v>2087</v>
      </c>
      <c r="B23" s="2022"/>
      <c r="C23" s="2022"/>
      <c r="D23" s="2022"/>
      <c r="E23" s="2022"/>
      <c r="F23" s="2022"/>
      <c r="G23" s="2022"/>
      <c r="H23" s="2023"/>
      <c r="T23" s="2004" t="s">
        <v>2083</v>
      </c>
      <c r="U23" s="2067"/>
      <c r="V23" s="2067"/>
      <c r="W23" s="2067"/>
      <c r="X23" s="2071">
        <v>43434</v>
      </c>
      <c r="Y23" s="2072"/>
      <c r="Z23" s="2072"/>
      <c r="AA23" s="2073"/>
    </row>
    <row r="24" spans="1:27" ht="14.1" customHeight="1" x14ac:dyDescent="0.2">
      <c r="A24" s="88" t="s">
        <v>698</v>
      </c>
      <c r="B24" s="49"/>
      <c r="C24" s="49"/>
      <c r="D24" s="49"/>
      <c r="E24" s="49"/>
      <c r="F24" s="49"/>
      <c r="G24" s="49"/>
      <c r="H24" s="61"/>
      <c r="J24" s="1991" t="str">
        <f>IF(B5="x",IF(AUDITCHECK!D29="AFR form Incomplete.","",IF(AUDITCHECK!D29="Deficit reduction plan is required.","School District must complete a deficit reduction plan in the 2018-2019 Budget",)),"")</f>
        <v/>
      </c>
      <c r="K24" s="1991"/>
      <c r="L24" s="1991"/>
      <c r="M24" s="1991"/>
      <c r="N24" s="1991"/>
      <c r="O24" s="1991"/>
      <c r="P24" s="1991"/>
      <c r="Q24" s="1991"/>
      <c r="R24" s="1991"/>
      <c r="S24" s="1992"/>
      <c r="T24" s="105" t="s">
        <v>552</v>
      </c>
      <c r="U24" s="106"/>
      <c r="V24" s="106"/>
      <c r="W24" s="106"/>
      <c r="X24" s="107"/>
      <c r="Y24" s="107"/>
      <c r="Z24" s="107"/>
      <c r="AA24" s="108"/>
    </row>
    <row r="25" spans="1:27" ht="14.1" customHeight="1" x14ac:dyDescent="0.2">
      <c r="A25" s="1968">
        <v>61401</v>
      </c>
      <c r="B25" s="1969"/>
      <c r="C25" s="1969"/>
      <c r="D25" s="1969"/>
      <c r="E25" s="1969"/>
      <c r="F25" s="1969"/>
      <c r="G25" s="1969"/>
      <c r="H25" s="1970"/>
      <c r="I25" s="113"/>
      <c r="J25" s="1993"/>
      <c r="K25" s="1993"/>
      <c r="L25" s="1993"/>
      <c r="M25" s="1993"/>
      <c r="N25" s="1993"/>
      <c r="O25" s="1993"/>
      <c r="P25" s="1993"/>
      <c r="Q25" s="1993"/>
      <c r="R25" s="1993"/>
      <c r="S25" s="1994"/>
      <c r="T25" s="2064" t="s">
        <v>2082</v>
      </c>
      <c r="U25" s="2065"/>
      <c r="V25" s="2065"/>
      <c r="W25" s="2065"/>
      <c r="X25" s="2065"/>
      <c r="Y25" s="2065"/>
      <c r="Z25" s="2065"/>
      <c r="AA25" s="206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9" t="s">
        <v>1591</v>
      </c>
      <c r="J27" s="1980"/>
      <c r="K27" s="1980"/>
      <c r="L27" s="1980"/>
      <c r="M27" s="1980"/>
      <c r="N27" s="1980"/>
      <c r="O27" s="1980"/>
      <c r="P27" s="1980"/>
      <c r="Q27" s="1980"/>
      <c r="R27" s="1980"/>
      <c r="S27" s="198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2074</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0"/>
      <c r="Q35" s="1969"/>
      <c r="R35" s="196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4" t="s">
        <v>2088</v>
      </c>
      <c r="B38" s="2005"/>
      <c r="C38" s="2005"/>
      <c r="D38" s="2005"/>
      <c r="E38" s="2005"/>
      <c r="F38" s="1969"/>
      <c r="G38" s="1969"/>
      <c r="H38" s="1970"/>
      <c r="I38" s="1997"/>
      <c r="J38" s="1998"/>
      <c r="K38" s="1998"/>
      <c r="L38" s="1998"/>
      <c r="M38" s="1998"/>
      <c r="N38" s="1998"/>
      <c r="O38" s="1998"/>
      <c r="P38" s="1999"/>
      <c r="Q38" s="1999"/>
      <c r="R38" s="1999"/>
      <c r="S38" s="2000"/>
      <c r="T38" s="2054"/>
      <c r="U38" s="1998"/>
      <c r="V38" s="1998"/>
      <c r="W38" s="1998"/>
      <c r="X38" s="1999"/>
      <c r="Y38" s="1999"/>
      <c r="Z38" s="1999"/>
      <c r="AA38" s="2000"/>
    </row>
    <row r="39" spans="1:27" ht="12" customHeight="1" x14ac:dyDescent="0.2">
      <c r="A39" s="1974" t="s">
        <v>552</v>
      </c>
      <c r="B39" s="1975"/>
      <c r="C39" s="72"/>
      <c r="D39" s="69"/>
      <c r="E39" s="69"/>
      <c r="F39" s="79"/>
      <c r="G39" s="69"/>
      <c r="H39" s="56"/>
      <c r="I39" s="1974" t="s">
        <v>552</v>
      </c>
      <c r="J39" s="1975"/>
      <c r="K39" s="1975"/>
      <c r="L39" s="1975"/>
      <c r="M39" s="1975"/>
      <c r="N39" s="67"/>
      <c r="O39" s="72"/>
      <c r="P39" s="72"/>
      <c r="Q39" s="78"/>
      <c r="R39" s="72"/>
      <c r="S39" s="56"/>
      <c r="T39" s="72" t="s">
        <v>552</v>
      </c>
      <c r="U39" s="51"/>
      <c r="V39" s="72"/>
      <c r="W39" s="50"/>
      <c r="X39" s="78"/>
      <c r="Y39" s="45"/>
      <c r="Z39" s="45"/>
      <c r="AA39" s="46"/>
    </row>
    <row r="40" spans="1:27" ht="13.5" customHeight="1" x14ac:dyDescent="0.2">
      <c r="A40" s="1982" t="s">
        <v>2087</v>
      </c>
      <c r="B40" s="1983"/>
      <c r="C40" s="1984"/>
      <c r="D40" s="1984"/>
      <c r="E40" s="1984"/>
      <c r="F40" s="1985"/>
      <c r="G40" s="1985"/>
      <c r="H40" s="1986"/>
      <c r="I40" s="2007"/>
      <c r="J40" s="2008"/>
      <c r="K40" s="2008"/>
      <c r="L40" s="2008"/>
      <c r="M40" s="2008"/>
      <c r="N40" s="2008"/>
      <c r="O40" s="2008"/>
      <c r="P40" s="2008"/>
      <c r="Q40" s="2008"/>
      <c r="R40" s="2008"/>
      <c r="S40" s="2009"/>
      <c r="T40" s="2007"/>
      <c r="U40" s="2070"/>
      <c r="V40" s="2008"/>
      <c r="W40" s="2008"/>
      <c r="X40" s="2008"/>
      <c r="Y40" s="2008"/>
      <c r="Z40" s="2008"/>
      <c r="AA40" s="200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6" t="s">
        <v>2089</v>
      </c>
      <c r="B42" s="1988"/>
      <c r="C42" s="1989"/>
      <c r="D42" s="1987"/>
      <c r="E42" s="1988"/>
      <c r="F42" s="1988"/>
      <c r="G42" s="1988"/>
      <c r="H42" s="1989"/>
      <c r="I42" s="1971"/>
      <c r="J42" s="1972"/>
      <c r="K42" s="1972"/>
      <c r="L42" s="1972"/>
      <c r="M42" s="1972"/>
      <c r="N42" s="1972"/>
      <c r="O42" s="1973"/>
      <c r="P42" s="2006"/>
      <c r="Q42" s="1972"/>
      <c r="R42" s="1972"/>
      <c r="S42" s="1973"/>
      <c r="T42" s="1971"/>
      <c r="U42" s="1972"/>
      <c r="V42" s="1972"/>
      <c r="W42" s="1973"/>
      <c r="X42" s="2006"/>
      <c r="Y42" s="1972"/>
      <c r="Z42" s="1972"/>
      <c r="AA42" s="197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1"/>
      <c r="B44" s="2002"/>
      <c r="C44" s="2002"/>
      <c r="D44" s="2002"/>
      <c r="E44" s="2002"/>
      <c r="F44" s="2002"/>
      <c r="G44" s="2002"/>
      <c r="H44" s="2003"/>
      <c r="I44" s="1976"/>
      <c r="J44" s="1977"/>
      <c r="K44" s="1977"/>
      <c r="L44" s="1977"/>
      <c r="M44" s="1977"/>
      <c r="N44" s="1977"/>
      <c r="O44" s="1977"/>
      <c r="P44" s="1977"/>
      <c r="Q44" s="1977"/>
      <c r="R44" s="1977"/>
      <c r="S44" s="1978"/>
      <c r="T44" s="1976"/>
      <c r="U44" s="1995"/>
      <c r="V44" s="1995"/>
      <c r="W44" s="1995"/>
      <c r="X44" s="1995"/>
      <c r="Y44" s="1995"/>
      <c r="Z44" s="1977"/>
      <c r="AA44" s="197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2073</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ZS4D1D9hhDQ9lNodN0tB4uUecM57Uj4Rlg9NX1VbuKbji0gc3go0+49sqxJbWrb6v+uulu2DzZrlU6mrezz89g==" saltValue="g6elH7grUsNg9fsz5JkB1g=="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10" t="s">
        <v>1901</v>
      </c>
      <c r="B2" s="1550" t="s">
        <v>2031</v>
      </c>
      <c r="C2" s="715" t="s">
        <v>1906</v>
      </c>
      <c r="D2" s="715" t="s">
        <v>1907</v>
      </c>
      <c r="E2" s="715" t="s">
        <v>1908</v>
      </c>
      <c r="F2" s="715" t="s">
        <v>1909</v>
      </c>
    </row>
    <row r="3" spans="1:6" ht="12" customHeight="1" x14ac:dyDescent="0.2">
      <c r="A3" s="2211"/>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2" t="s">
        <v>650</v>
      </c>
      <c r="B1" s="2230"/>
      <c r="C1" s="722"/>
    </row>
    <row r="2" spans="1:7" ht="33.75" x14ac:dyDescent="0.2">
      <c r="A2" s="2237" t="s">
        <v>1901</v>
      </c>
      <c r="B2" s="2238"/>
      <c r="C2" s="1909" t="s">
        <v>2032</v>
      </c>
      <c r="D2" s="724" t="s">
        <v>2039</v>
      </c>
      <c r="E2" s="724" t="s">
        <v>2040</v>
      </c>
      <c r="F2" s="1909" t="s">
        <v>2033</v>
      </c>
    </row>
    <row r="3" spans="1:7" ht="15.75" customHeight="1" x14ac:dyDescent="0.2">
      <c r="A3" s="2239" t="s">
        <v>1176</v>
      </c>
      <c r="B3" s="2240"/>
      <c r="C3" s="2233"/>
      <c r="D3" s="2234"/>
      <c r="E3" s="2234"/>
      <c r="F3" s="2235"/>
    </row>
    <row r="4" spans="1:7" ht="12.75" customHeight="1" thickBot="1" x14ac:dyDescent="0.25">
      <c r="A4" s="2227" t="s">
        <v>651</v>
      </c>
      <c r="B4" s="2228"/>
      <c r="C4" s="581"/>
      <c r="D4" s="581"/>
      <c r="E4" s="581"/>
      <c r="F4" s="1777">
        <f>SUM(C4+D4)-E4</f>
        <v>0</v>
      </c>
    </row>
    <row r="5" spans="1:7" ht="15.75" customHeight="1" thickTop="1" x14ac:dyDescent="0.2">
      <c r="A5" s="2231" t="s">
        <v>1172</v>
      </c>
      <c r="B5" s="2226"/>
      <c r="C5" s="2220"/>
      <c r="D5" s="2221"/>
      <c r="E5" s="2221"/>
      <c r="F5" s="222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3" t="s">
        <v>652</v>
      </c>
      <c r="B15" s="2224"/>
      <c r="C15" s="1777">
        <f>SUM(C6:C14)</f>
        <v>0</v>
      </c>
      <c r="D15" s="1777">
        <f>SUM(D6:D14)</f>
        <v>0</v>
      </c>
      <c r="E15" s="1777">
        <f>SUM(E6:E14)</f>
        <v>0</v>
      </c>
      <c r="F15" s="1777">
        <f>SUM(F6:F14)</f>
        <v>0</v>
      </c>
      <c r="G15" s="552"/>
    </row>
    <row r="16" spans="1:7" s="202" customFormat="1" ht="15.75" customHeight="1" thickTop="1" x14ac:dyDescent="0.2">
      <c r="A16" s="2236" t="s">
        <v>1173</v>
      </c>
      <c r="B16" s="2226"/>
      <c r="C16" s="2220"/>
      <c r="D16" s="2221"/>
      <c r="E16" s="2221"/>
      <c r="F16" s="2222"/>
    </row>
    <row r="17" spans="1:11" ht="12.75" customHeight="1" thickBot="1" x14ac:dyDescent="0.25">
      <c r="A17" s="2218" t="s">
        <v>66</v>
      </c>
      <c r="B17" s="2219"/>
      <c r="C17" s="727"/>
      <c r="D17" s="585"/>
      <c r="E17" s="727"/>
      <c r="F17" s="1777">
        <f>SUM(C17+D17)-E17</f>
        <v>0</v>
      </c>
    </row>
    <row r="18" spans="1:11" ht="12.75" customHeight="1" thickTop="1" thickBot="1" x14ac:dyDescent="0.25">
      <c r="A18" s="2218" t="s">
        <v>6</v>
      </c>
      <c r="B18" s="2219"/>
      <c r="C18" s="727"/>
      <c r="D18" s="585"/>
      <c r="E18" s="727"/>
      <c r="F18" s="1777">
        <f>SUM(C18+D18)-E18</f>
        <v>0</v>
      </c>
    </row>
    <row r="19" spans="1:11" ht="12.75" customHeight="1" thickTop="1" thickBot="1" x14ac:dyDescent="0.25">
      <c r="A19" s="2218" t="s">
        <v>406</v>
      </c>
      <c r="B19" s="2219"/>
      <c r="C19" s="727"/>
      <c r="D19" s="585"/>
      <c r="E19" s="727"/>
      <c r="F19" s="1777">
        <f>SUM(C19+D19)-E19</f>
        <v>0</v>
      </c>
    </row>
    <row r="20" spans="1:11" ht="12.75" customHeight="1" thickTop="1" thickBot="1" x14ac:dyDescent="0.25">
      <c r="A20" s="2218" t="s">
        <v>468</v>
      </c>
      <c r="B20" s="2219"/>
      <c r="C20" s="727"/>
      <c r="D20" s="585"/>
      <c r="E20" s="727"/>
      <c r="F20" s="1777">
        <f>SUM(C20+D20)-E20</f>
        <v>0</v>
      </c>
    </row>
    <row r="21" spans="1:11" ht="14.25" thickTop="1" thickBot="1" x14ac:dyDescent="0.25">
      <c r="A21" s="2223" t="s">
        <v>653</v>
      </c>
      <c r="B21" s="2224"/>
      <c r="C21" s="1777">
        <f>SUM(C17:C20)</f>
        <v>0</v>
      </c>
      <c r="D21" s="1777">
        <f>SUM(D17:D20)</f>
        <v>0</v>
      </c>
      <c r="E21" s="1777">
        <f>SUM(E17:E20)</f>
        <v>0</v>
      </c>
      <c r="F21" s="1777">
        <f>SUM(F17:F20)</f>
        <v>0</v>
      </c>
      <c r="G21" s="552"/>
    </row>
    <row r="22" spans="1:11" ht="15.75" customHeight="1" thickTop="1" x14ac:dyDescent="0.2">
      <c r="A22" s="2225" t="s">
        <v>1174</v>
      </c>
      <c r="B22" s="2226"/>
      <c r="C22" s="2220"/>
      <c r="D22" s="2221"/>
      <c r="E22" s="2221"/>
      <c r="F22" s="2222"/>
    </row>
    <row r="23" spans="1:11" ht="13.5" thickBot="1" x14ac:dyDescent="0.25">
      <c r="A23" s="2227" t="s">
        <v>654</v>
      </c>
      <c r="B23" s="2228"/>
      <c r="C23" s="581"/>
      <c r="D23" s="581"/>
      <c r="E23" s="581"/>
      <c r="F23" s="1777">
        <f>SUM(C23+D23)-E23</f>
        <v>0</v>
      </c>
      <c r="G23" s="552"/>
    </row>
    <row r="24" spans="1:11" ht="15.75" customHeight="1" thickTop="1" x14ac:dyDescent="0.2">
      <c r="A24" s="2225" t="s">
        <v>1175</v>
      </c>
      <c r="B24" s="2226"/>
      <c r="C24" s="2220"/>
      <c r="D24" s="2221"/>
      <c r="E24" s="2221"/>
      <c r="F24" s="2222"/>
    </row>
    <row r="25" spans="1:11" ht="13.5" thickBot="1" x14ac:dyDescent="0.25">
      <c r="A25" s="2227" t="s">
        <v>655</v>
      </c>
      <c r="B25" s="2228"/>
      <c r="C25" s="581"/>
      <c r="D25" s="581"/>
      <c r="E25" s="581"/>
      <c r="F25" s="1777">
        <f>SUM(C25+D25)-E25</f>
        <v>0</v>
      </c>
      <c r="G25" s="552"/>
    </row>
    <row r="26" spans="1:11" ht="15.75" customHeight="1" thickTop="1" x14ac:dyDescent="0.2">
      <c r="A26" s="2231" t="s">
        <v>678</v>
      </c>
      <c r="B26" s="2226"/>
      <c r="C26" s="728"/>
      <c r="D26" s="728"/>
      <c r="E26" s="728"/>
      <c r="F26" s="729"/>
    </row>
    <row r="27" spans="1:11" ht="13.5" thickBot="1" x14ac:dyDescent="0.25">
      <c r="A27" s="2223" t="s">
        <v>1130</v>
      </c>
      <c r="B27" s="2224"/>
      <c r="C27" s="585"/>
      <c r="D27" s="585"/>
      <c r="E27" s="585"/>
      <c r="F27" s="1777">
        <f>SUM(C27+D27)-E27</f>
        <v>0</v>
      </c>
      <c r="G27" s="552"/>
    </row>
    <row r="28" spans="1:11" ht="7.5" customHeight="1" thickTop="1" x14ac:dyDescent="0.2">
      <c r="A28" s="594"/>
    </row>
    <row r="29" spans="1:11" ht="23.25" customHeight="1" x14ac:dyDescent="0.2">
      <c r="A29" s="2229" t="s">
        <v>603</v>
      </c>
      <c r="B29" s="2230"/>
      <c r="C29" s="730"/>
      <c r="D29" s="730"/>
      <c r="E29" s="730"/>
      <c r="F29" s="730"/>
      <c r="G29" s="730"/>
      <c r="H29" s="730"/>
      <c r="I29" s="730"/>
      <c r="J29" s="730"/>
    </row>
    <row r="30" spans="1:11" ht="33.75" x14ac:dyDescent="0.2">
      <c r="A30" s="1551" t="s">
        <v>1131</v>
      </c>
      <c r="B30" s="731" t="s">
        <v>1186</v>
      </c>
      <c r="C30" s="1910" t="s">
        <v>604</v>
      </c>
      <c r="D30" s="1910" t="s">
        <v>1771</v>
      </c>
      <c r="E30" s="1910" t="s">
        <v>2034</v>
      </c>
      <c r="F30" s="1910" t="s">
        <v>2035</v>
      </c>
      <c r="G30" s="1910" t="s">
        <v>2038</v>
      </c>
      <c r="H30" s="1910" t="s">
        <v>2036</v>
      </c>
      <c r="I30" s="1910" t="s">
        <v>2037</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12" t="s">
        <v>605</v>
      </c>
      <c r="C52" s="2213"/>
      <c r="D52" s="2213"/>
      <c r="E52" s="750" t="s">
        <v>900</v>
      </c>
      <c r="F52" s="2214"/>
      <c r="G52" s="2215"/>
      <c r="H52" s="737"/>
      <c r="I52" s="737"/>
      <c r="J52" s="747"/>
    </row>
    <row r="53" spans="1:11" ht="11.25" customHeight="1" x14ac:dyDescent="0.2">
      <c r="A53" s="751" t="s">
        <v>969</v>
      </c>
      <c r="B53" s="752" t="s">
        <v>1008</v>
      </c>
      <c r="C53" s="747"/>
      <c r="D53" s="738"/>
      <c r="E53" s="750" t="s">
        <v>518</v>
      </c>
      <c r="F53" s="2216"/>
      <c r="G53" s="2217"/>
      <c r="H53" s="737"/>
      <c r="I53" s="737"/>
      <c r="J53" s="747"/>
    </row>
    <row r="54" spans="1:11" ht="11.25" customHeight="1" x14ac:dyDescent="0.2">
      <c r="A54" s="753" t="s">
        <v>970</v>
      </c>
      <c r="B54" s="748" t="s">
        <v>1009</v>
      </c>
      <c r="C54" s="747"/>
      <c r="D54" s="738"/>
      <c r="E54" s="750" t="s">
        <v>519</v>
      </c>
      <c r="F54" s="2216"/>
      <c r="G54" s="221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5" colorId="8" zoomScale="110" zoomScaleNormal="110" workbookViewId="0">
      <selection activeCell="G49" sqref="G4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1" t="s">
        <v>911</v>
      </c>
      <c r="B1" s="2242"/>
      <c r="C1" s="2242"/>
      <c r="D1" s="2242"/>
      <c r="E1" s="2242"/>
      <c r="F1" s="2242"/>
      <c r="G1" s="2243"/>
      <c r="H1" s="1552"/>
      <c r="I1" s="761"/>
      <c r="J1" s="433"/>
    </row>
    <row r="2" spans="1:11" ht="26.25" x14ac:dyDescent="0.2">
      <c r="A2" s="2260" t="s">
        <v>1775</v>
      </c>
      <c r="B2" s="2261"/>
      <c r="C2" s="2261"/>
      <c r="D2" s="2261"/>
      <c r="E2" s="2262"/>
      <c r="F2" s="762" t="s">
        <v>960</v>
      </c>
      <c r="G2" s="763" t="s">
        <v>1772</v>
      </c>
      <c r="H2" s="763" t="s">
        <v>430</v>
      </c>
      <c r="I2" s="763" t="s">
        <v>1220</v>
      </c>
      <c r="J2" s="763" t="s">
        <v>1915</v>
      </c>
      <c r="K2" s="763" t="s">
        <v>140</v>
      </c>
    </row>
    <row r="3" spans="1:11" x14ac:dyDescent="0.2">
      <c r="A3" s="2263" t="s">
        <v>1697</v>
      </c>
      <c r="B3" s="2264"/>
      <c r="C3" s="2264"/>
      <c r="D3" s="2264"/>
      <c r="E3" s="2265"/>
      <c r="F3" s="764"/>
      <c r="G3" s="765"/>
      <c r="H3" s="765"/>
      <c r="I3" s="765"/>
      <c r="J3" s="766"/>
      <c r="K3" s="766"/>
    </row>
    <row r="4" spans="1:11" x14ac:dyDescent="0.2">
      <c r="A4" s="2266" t="s">
        <v>387</v>
      </c>
      <c r="B4" s="2267"/>
      <c r="C4" s="2267"/>
      <c r="D4" s="2267"/>
      <c r="E4" s="2213"/>
      <c r="F4" s="767"/>
      <c r="G4" s="768"/>
      <c r="H4" s="769"/>
      <c r="I4" s="768"/>
      <c r="J4" s="770"/>
      <c r="K4" s="770"/>
    </row>
    <row r="5" spans="1:11" x14ac:dyDescent="0.2">
      <c r="A5" s="2244" t="s">
        <v>1129</v>
      </c>
      <c r="B5" s="2245"/>
      <c r="C5" s="2245"/>
      <c r="D5" s="2245"/>
      <c r="E5" s="2246"/>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4" t="s">
        <v>1916</v>
      </c>
      <c r="B10" s="2245"/>
      <c r="C10" s="2245"/>
      <c r="D10" s="2245"/>
      <c r="E10" s="2247"/>
      <c r="F10" s="784" t="s">
        <v>917</v>
      </c>
      <c r="G10" s="783"/>
      <c r="H10" s="785"/>
      <c r="I10" s="765"/>
      <c r="J10" s="766"/>
      <c r="K10" s="766"/>
    </row>
    <row r="11" spans="1:11" x14ac:dyDescent="0.2">
      <c r="A11" s="2244" t="s">
        <v>162</v>
      </c>
      <c r="B11" s="2245"/>
      <c r="C11" s="2245"/>
      <c r="D11" s="2245"/>
      <c r="E11" s="2246"/>
      <c r="F11" s="771" t="s">
        <v>907</v>
      </c>
      <c r="G11" s="772"/>
      <c r="H11" s="765"/>
      <c r="I11" s="765"/>
      <c r="J11" s="766"/>
      <c r="K11" s="774"/>
    </row>
    <row r="12" spans="1:11" ht="13.5" thickBot="1" x14ac:dyDescent="0.25">
      <c r="A12" s="2271" t="s">
        <v>961</v>
      </c>
      <c r="B12" s="2272"/>
      <c r="C12" s="2272"/>
      <c r="D12" s="2272"/>
      <c r="E12" s="2273"/>
      <c r="F12" s="1779"/>
      <c r="G12" s="1780">
        <f>SUM(G5:G11)</f>
        <v>0</v>
      </c>
      <c r="H12" s="1780">
        <f>SUM(H5:H11)</f>
        <v>0</v>
      </c>
      <c r="I12" s="1780">
        <f>SUM(I5:I11)</f>
        <v>0</v>
      </c>
      <c r="J12" s="1780">
        <f>SUM(J5:J11)</f>
        <v>0</v>
      </c>
      <c r="K12" s="1780">
        <f>SUM(K5:K11)</f>
        <v>0</v>
      </c>
    </row>
    <row r="13" spans="1:11" ht="13.5" thickTop="1" x14ac:dyDescent="0.2">
      <c r="A13" s="2268" t="s">
        <v>388</v>
      </c>
      <c r="B13" s="2269"/>
      <c r="C13" s="2269"/>
      <c r="D13" s="2269"/>
      <c r="E13" s="2270"/>
      <c r="F13" s="786"/>
      <c r="G13" s="787"/>
      <c r="H13" s="788"/>
      <c r="I13" s="789"/>
      <c r="J13" s="789"/>
      <c r="K13" s="789"/>
    </row>
    <row r="14" spans="1:11" x14ac:dyDescent="0.2">
      <c r="A14" s="2251" t="s">
        <v>476</v>
      </c>
      <c r="B14" s="2251"/>
      <c r="C14" s="2251"/>
      <c r="D14" s="2251"/>
      <c r="E14" s="2252"/>
      <c r="F14" s="790" t="s">
        <v>909</v>
      </c>
      <c r="G14" s="783"/>
      <c r="H14" s="765"/>
      <c r="I14" s="772"/>
      <c r="J14" s="774"/>
      <c r="K14" s="766"/>
    </row>
    <row r="15" spans="1:11" x14ac:dyDescent="0.2">
      <c r="A15" s="2245" t="s">
        <v>4</v>
      </c>
      <c r="B15" s="2245"/>
      <c r="C15" s="2245"/>
      <c r="D15" s="2245"/>
      <c r="E15" s="2246"/>
      <c r="F15" s="790" t="s">
        <v>910</v>
      </c>
      <c r="G15" s="772"/>
      <c r="H15" s="765"/>
      <c r="I15" s="765"/>
      <c r="J15" s="766"/>
      <c r="K15" s="766"/>
    </row>
    <row r="16" spans="1:11" x14ac:dyDescent="0.2">
      <c r="A16" s="2245" t="s">
        <v>316</v>
      </c>
      <c r="B16" s="2245"/>
      <c r="C16" s="2245"/>
      <c r="D16" s="2245"/>
      <c r="E16" s="2246"/>
      <c r="F16" s="790" t="s">
        <v>980</v>
      </c>
      <c r="G16" s="773"/>
      <c r="H16" s="768"/>
      <c r="I16" s="768"/>
      <c r="J16" s="770"/>
      <c r="K16" s="770"/>
    </row>
    <row r="17" spans="1:11" x14ac:dyDescent="0.2">
      <c r="A17" s="2276" t="s">
        <v>992</v>
      </c>
      <c r="B17" s="2276"/>
      <c r="C17" s="2276"/>
      <c r="D17" s="2276"/>
      <c r="E17" s="2277"/>
      <c r="F17" s="791"/>
      <c r="G17" s="792"/>
      <c r="H17" s="793"/>
      <c r="I17" s="793"/>
      <c r="J17" s="794"/>
      <c r="K17" s="795"/>
    </row>
    <row r="18" spans="1:11" x14ac:dyDescent="0.2">
      <c r="A18" s="2255" t="s">
        <v>386</v>
      </c>
      <c r="B18" s="2256"/>
      <c r="C18" s="2256"/>
      <c r="D18" s="2256"/>
      <c r="E18" s="2257"/>
      <c r="F18" s="790" t="s">
        <v>989</v>
      </c>
      <c r="G18" s="783"/>
      <c r="H18" s="783"/>
      <c r="I18" s="783"/>
      <c r="J18" s="766"/>
      <c r="K18" s="796"/>
    </row>
    <row r="19" spans="1:11" ht="21.75" customHeight="1" x14ac:dyDescent="0.2">
      <c r="A19" s="2253" t="s">
        <v>1912</v>
      </c>
      <c r="B19" s="2253"/>
      <c r="C19" s="2253"/>
      <c r="D19" s="2253"/>
      <c r="E19" s="2254"/>
      <c r="F19" s="790" t="s">
        <v>990</v>
      </c>
      <c r="G19" s="783"/>
      <c r="H19" s="783"/>
      <c r="I19" s="783"/>
      <c r="J19" s="766"/>
      <c r="K19" s="796"/>
    </row>
    <row r="20" spans="1:11" x14ac:dyDescent="0.2">
      <c r="A20" s="2255" t="s">
        <v>1917</v>
      </c>
      <c r="B20" s="2256"/>
      <c r="C20" s="2256"/>
      <c r="D20" s="2256"/>
      <c r="E20" s="2257"/>
      <c r="F20" s="790" t="s">
        <v>991</v>
      </c>
      <c r="G20" s="783"/>
      <c r="H20" s="783"/>
      <c r="I20" s="783"/>
      <c r="J20" s="766"/>
      <c r="K20" s="796"/>
    </row>
    <row r="21" spans="1:11" ht="13.5" thickBot="1" x14ac:dyDescent="0.25">
      <c r="A21" s="2274" t="s">
        <v>659</v>
      </c>
      <c r="B21" s="2274"/>
      <c r="C21" s="2274"/>
      <c r="D21" s="2274"/>
      <c r="E21" s="2274"/>
      <c r="F21" s="1781"/>
      <c r="G21" s="793"/>
      <c r="H21" s="797"/>
      <c r="I21" s="797"/>
      <c r="J21" s="1782">
        <f>SUM(J18:J20)</f>
        <v>0</v>
      </c>
      <c r="K21" s="794"/>
    </row>
    <row r="22" spans="1:11" ht="13.5" thickTop="1" x14ac:dyDescent="0.2">
      <c r="A22" s="2245" t="s">
        <v>1918</v>
      </c>
      <c r="B22" s="2245"/>
      <c r="C22" s="2245"/>
      <c r="D22" s="2245"/>
      <c r="E22" s="2246"/>
      <c r="F22" s="790" t="s">
        <v>917</v>
      </c>
      <c r="G22" s="783"/>
      <c r="H22" s="765"/>
      <c r="I22" s="765"/>
      <c r="J22" s="798"/>
      <c r="K22" s="766"/>
    </row>
    <row r="23" spans="1:11" ht="13.5" thickBot="1" x14ac:dyDescent="0.25">
      <c r="A23" s="2275" t="s">
        <v>962</v>
      </c>
      <c r="B23" s="2274"/>
      <c r="C23" s="2274"/>
      <c r="D23" s="2274"/>
      <c r="E23" s="2274"/>
      <c r="F23" s="1783"/>
      <c r="G23" s="1780">
        <f>SUM(G14:G16,G21,G22)</f>
        <v>0</v>
      </c>
      <c r="H23" s="1780">
        <f>SUM(H14:H16,H21,H22)</f>
        <v>0</v>
      </c>
      <c r="I23" s="1780">
        <f>SUM(I14:I16,I21,I22)</f>
        <v>0</v>
      </c>
      <c r="J23" s="1780">
        <f>SUM(J14:J16,J21,J22)</f>
        <v>0</v>
      </c>
      <c r="K23" s="1780">
        <f>SUM(K14:K16,K21,K22)</f>
        <v>0</v>
      </c>
    </row>
    <row r="24" spans="1:11" ht="14.25" thickTop="1" thickBot="1" x14ac:dyDescent="0.25">
      <c r="A24" s="2275" t="s">
        <v>2020</v>
      </c>
      <c r="B24" s="2274"/>
      <c r="C24" s="2274"/>
      <c r="D24" s="2274"/>
      <c r="E24" s="2274"/>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2030</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8"/>
      <c r="I31" s="2249"/>
      <c r="J31" s="2249"/>
      <c r="K31" s="2249"/>
    </row>
    <row r="32" spans="1:11" x14ac:dyDescent="0.2">
      <c r="A32" s="810"/>
      <c r="B32" s="237"/>
      <c r="C32" s="237"/>
      <c r="D32" s="237"/>
      <c r="E32" s="806"/>
      <c r="F32" s="812" t="s">
        <v>561</v>
      </c>
      <c r="G32" s="765"/>
      <c r="H32" s="2250"/>
      <c r="I32" s="2249"/>
      <c r="J32" s="2249"/>
      <c r="K32" s="2249"/>
    </row>
    <row r="33" spans="1:11" ht="1.5" customHeight="1" x14ac:dyDescent="0.2">
      <c r="A33" s="813" t="s">
        <v>1231</v>
      </c>
      <c r="B33" s="364"/>
      <c r="C33" s="364"/>
      <c r="D33" s="364"/>
      <c r="E33" s="364"/>
      <c r="F33" s="364"/>
      <c r="G33" s="814"/>
      <c r="H33" s="2250"/>
      <c r="I33" s="2249"/>
      <c r="J33" s="2249"/>
      <c r="K33" s="2249"/>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5" t="s">
        <v>562</v>
      </c>
      <c r="B41" s="2258"/>
      <c r="C41" s="2258"/>
      <c r="D41" s="2258"/>
      <c r="E41" s="2258"/>
      <c r="F41" s="225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1913</v>
      </c>
      <c r="B46" s="408" t="s">
        <v>1773</v>
      </c>
    </row>
    <row r="47" spans="1:11" s="824" customFormat="1" ht="12.75" customHeight="1" x14ac:dyDescent="0.2">
      <c r="A47" s="822"/>
      <c r="B47" s="823" t="s">
        <v>1774</v>
      </c>
      <c r="E47" s="823"/>
      <c r="K47" s="825"/>
    </row>
    <row r="48" spans="1:11" ht="12.75" customHeight="1" x14ac:dyDescent="0.2">
      <c r="A48" s="1554"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I15" sqref="I1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0" t="s">
        <v>2029</v>
      </c>
      <c r="B1" s="2281"/>
      <c r="C1" s="2282"/>
      <c r="D1" s="827"/>
      <c r="E1" s="828"/>
      <c r="F1" s="828"/>
      <c r="G1" s="829"/>
      <c r="H1" s="830"/>
      <c r="I1" s="831"/>
      <c r="J1" s="2278"/>
      <c r="K1" s="2279"/>
      <c r="L1" s="2279"/>
    </row>
    <row r="2" spans="1:14" ht="69.75" customHeight="1" x14ac:dyDescent="0.2">
      <c r="A2" s="832" t="s">
        <v>1776</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c r="D12" s="845">
        <v>13193</v>
      </c>
      <c r="E12" s="845"/>
      <c r="F12" s="1782">
        <f>(C12+D12)-E12</f>
        <v>13193</v>
      </c>
      <c r="G12" s="844">
        <v>10</v>
      </c>
      <c r="H12" s="766"/>
      <c r="I12" s="766">
        <v>1319</v>
      </c>
      <c r="J12" s="766"/>
      <c r="K12" s="1791">
        <f>(H12+I12)-J12</f>
        <v>1319</v>
      </c>
      <c r="L12" s="1791">
        <f>F12-K12</f>
        <v>11874</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v>31379</v>
      </c>
      <c r="E14" s="766"/>
      <c r="F14" s="1782">
        <f>(C14+D14)-E14</f>
        <v>31379</v>
      </c>
      <c r="G14" s="844">
        <v>3</v>
      </c>
      <c r="H14" s="766"/>
      <c r="I14" s="766">
        <v>10460</v>
      </c>
      <c r="J14" s="766"/>
      <c r="K14" s="1791">
        <f>(H14+I14)-J14</f>
        <v>10460</v>
      </c>
      <c r="L14" s="1791">
        <f>F14-K14</f>
        <v>20919</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0</v>
      </c>
      <c r="D16" s="1782">
        <f>SUM(D3,D5:D6,D8:D10,D12:D15)</f>
        <v>44572</v>
      </c>
      <c r="E16" s="1782">
        <f>SUM(E3,E5:E6,E8:E10,E12:E15)</f>
        <v>0</v>
      </c>
      <c r="F16" s="1782">
        <f>SUM(F3,F5:F6,F8:F10,F12:F15)</f>
        <v>44572</v>
      </c>
      <c r="G16" s="844"/>
      <c r="H16" s="1782">
        <f>SUM(H3,H6,H8:H10,H12:H14,)</f>
        <v>0</v>
      </c>
      <c r="I16" s="1782">
        <f>SUM(I3,I6,I8:I10,I12:I14,)</f>
        <v>11779</v>
      </c>
      <c r="J16" s="1782">
        <f>SUM(J3,J6,J8:J10,J12:J14,)</f>
        <v>0</v>
      </c>
      <c r="K16" s="1782">
        <f>(H16+I16)-J16</f>
        <v>11779</v>
      </c>
      <c r="L16" s="1782">
        <f>F16-K16</f>
        <v>32793</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14852</v>
      </c>
      <c r="G17" s="838">
        <v>10</v>
      </c>
      <c r="H17" s="770"/>
      <c r="I17" s="1791">
        <f>F17/G17</f>
        <v>1485.2</v>
      </c>
      <c r="J17" s="770"/>
      <c r="K17" s="796"/>
      <c r="L17" s="796"/>
    </row>
    <row r="18" spans="1:12" ht="14.25" thickTop="1" thickBot="1" x14ac:dyDescent="0.25">
      <c r="A18" s="1789" t="s">
        <v>706</v>
      </c>
      <c r="B18" s="1790"/>
      <c r="C18" s="772"/>
      <c r="D18" s="772"/>
      <c r="E18" s="772"/>
      <c r="F18" s="851"/>
      <c r="G18" s="852"/>
      <c r="H18" s="774"/>
      <c r="I18" s="1782">
        <f>SUM(I16,I17)</f>
        <v>13264.2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F30" sqref="F3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6" t="s">
        <v>1698</v>
      </c>
      <c r="B1" s="2287"/>
      <c r="C1" s="2287"/>
      <c r="D1" s="2287"/>
      <c r="E1" s="2287"/>
      <c r="F1" s="2288"/>
      <c r="G1" s="856"/>
    </row>
    <row r="2" spans="1:7" ht="15" customHeight="1" thickBot="1" x14ac:dyDescent="0.25">
      <c r="A2" s="2289" t="s">
        <v>498</v>
      </c>
      <c r="B2" s="2290"/>
      <c r="C2" s="2290"/>
      <c r="D2" s="2290"/>
      <c r="E2" s="2290"/>
      <c r="F2" s="229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2"/>
      <c r="B5" s="2293"/>
      <c r="C5" s="2293"/>
      <c r="D5" s="2293"/>
      <c r="E5" s="2293"/>
      <c r="F5" s="2293"/>
    </row>
    <row r="6" spans="1:7" ht="13.5" customHeight="1" thickBot="1" x14ac:dyDescent="0.25">
      <c r="A6" s="2283" t="s">
        <v>1166</v>
      </c>
      <c r="B6" s="2284"/>
      <c r="C6" s="2284"/>
      <c r="D6" s="2284"/>
      <c r="E6" s="2284"/>
      <c r="F6" s="228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3858340</v>
      </c>
      <c r="G8" s="866"/>
    </row>
    <row r="9" spans="1:7" x14ac:dyDescent="0.2">
      <c r="A9" s="870" t="s">
        <v>480</v>
      </c>
      <c r="B9" s="871" t="s">
        <v>1984</v>
      </c>
      <c r="C9" s="872"/>
      <c r="D9" s="870" t="s">
        <v>522</v>
      </c>
      <c r="E9" s="869"/>
      <c r="F9" s="1935">
        <f>'Expenditures 15-22'!K151</f>
        <v>0</v>
      </c>
      <c r="G9" s="873"/>
    </row>
    <row r="10" spans="1:7" x14ac:dyDescent="0.2">
      <c r="A10" s="870" t="s">
        <v>520</v>
      </c>
      <c r="B10" s="871" t="s">
        <v>1985</v>
      </c>
      <c r="C10" s="872"/>
      <c r="D10" s="870" t="s">
        <v>522</v>
      </c>
      <c r="E10" s="869"/>
      <c r="F10" s="1935">
        <f>'Expenditures 15-22'!K174</f>
        <v>0</v>
      </c>
      <c r="G10" s="873"/>
    </row>
    <row r="11" spans="1:7" x14ac:dyDescent="0.2">
      <c r="A11" s="870" t="s">
        <v>481</v>
      </c>
      <c r="B11" s="871" t="s">
        <v>1986</v>
      </c>
      <c r="C11" s="872"/>
      <c r="D11" s="870" t="s">
        <v>522</v>
      </c>
      <c r="E11" s="869"/>
      <c r="F11" s="1935">
        <f>'Expenditures 15-22'!K210</f>
        <v>0</v>
      </c>
      <c r="G11" s="873"/>
    </row>
    <row r="12" spans="1:7" x14ac:dyDescent="0.2">
      <c r="A12" s="870" t="s">
        <v>482</v>
      </c>
      <c r="B12" s="871" t="s">
        <v>1987</v>
      </c>
      <c r="C12" s="872"/>
      <c r="D12" s="870" t="s">
        <v>522</v>
      </c>
      <c r="E12" s="869"/>
      <c r="F12" s="1935">
        <f>'Expenditures 15-22'!K295</f>
        <v>0</v>
      </c>
      <c r="G12" s="873"/>
    </row>
    <row r="13" spans="1:7" x14ac:dyDescent="0.2">
      <c r="A13" s="870" t="s">
        <v>108</v>
      </c>
      <c r="B13" s="871" t="s">
        <v>1988</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3858340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9-14'!D148,F148)</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0</v>
      </c>
      <c r="G53" s="866"/>
    </row>
    <row r="54" spans="1:7" x14ac:dyDescent="0.2">
      <c r="A54" s="870" t="s">
        <v>479</v>
      </c>
      <c r="B54" s="870" t="s">
        <v>1552</v>
      </c>
      <c r="C54" s="890" t="s">
        <v>1039</v>
      </c>
      <c r="D54" s="886" t="s">
        <v>1157</v>
      </c>
      <c r="E54" s="869"/>
      <c r="F54" s="1939">
        <f>'Expenditures 15-22'!G114</f>
        <v>44572</v>
      </c>
      <c r="G54" s="866"/>
    </row>
    <row r="55" spans="1:7" x14ac:dyDescent="0.2">
      <c r="A55" s="870" t="s">
        <v>479</v>
      </c>
      <c r="B55" s="870" t="s">
        <v>1553</v>
      </c>
      <c r="C55" s="890" t="s">
        <v>1039</v>
      </c>
      <c r="D55" s="886" t="s">
        <v>309</v>
      </c>
      <c r="E55" s="869"/>
      <c r="F55" s="1939">
        <f>'Expenditures 15-22'!I114</f>
        <v>14852</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1989</v>
      </c>
      <c r="C57" s="890">
        <f>'Expenditures 15-22'!B139</f>
        <v>4000</v>
      </c>
      <c r="D57" s="888" t="str">
        <f>'Expenditures 15-22'!A139</f>
        <v>Total Payments to Other Govt Units</v>
      </c>
      <c r="E57" s="869"/>
      <c r="F57" s="1939">
        <f>'Expenditures 15-22'!K139</f>
        <v>0</v>
      </c>
      <c r="G57" s="866"/>
    </row>
    <row r="58" spans="1:7" x14ac:dyDescent="0.2">
      <c r="A58" s="870" t="s">
        <v>480</v>
      </c>
      <c r="B58" s="870" t="s">
        <v>1990</v>
      </c>
      <c r="C58" s="887" t="s">
        <v>1039</v>
      </c>
      <c r="D58" s="886" t="s">
        <v>1157</v>
      </c>
      <c r="E58" s="869"/>
      <c r="F58" s="1941">
        <f>'Expenditures 15-22'!G151</f>
        <v>0</v>
      </c>
      <c r="G58" s="866"/>
    </row>
    <row r="59" spans="1:7" x14ac:dyDescent="0.2">
      <c r="A59" s="894" t="s">
        <v>480</v>
      </c>
      <c r="B59" s="857" t="s">
        <v>1991</v>
      </c>
      <c r="C59" s="895" t="s">
        <v>1039</v>
      </c>
      <c r="D59" s="857" t="s">
        <v>309</v>
      </c>
      <c r="F59" s="1942">
        <f>'Expenditures 15-22'!I151</f>
        <v>0</v>
      </c>
      <c r="G59" s="866"/>
    </row>
    <row r="60" spans="1:7" x14ac:dyDescent="0.2">
      <c r="A60" s="894" t="s">
        <v>520</v>
      </c>
      <c r="B60" s="857" t="s">
        <v>1992</v>
      </c>
      <c r="C60" s="895">
        <v>4000</v>
      </c>
      <c r="D60" s="857" t="s">
        <v>330</v>
      </c>
      <c r="F60" s="1940">
        <f>'Expenditures 15-22'!K160</f>
        <v>0</v>
      </c>
      <c r="G60" s="866"/>
    </row>
    <row r="61" spans="1:7" x14ac:dyDescent="0.2">
      <c r="A61" s="896" t="s">
        <v>520</v>
      </c>
      <c r="B61" s="896" t="s">
        <v>1993</v>
      </c>
      <c r="C61" s="897" t="str">
        <f>'Expenditures 15-22'!B170</f>
        <v>5300</v>
      </c>
      <c r="D61" s="898" t="s">
        <v>329</v>
      </c>
      <c r="E61" s="880"/>
      <c r="F61" s="1939">
        <f>'Expenditures 15-22'!K170</f>
        <v>0</v>
      </c>
      <c r="G61" s="866"/>
    </row>
    <row r="62" spans="1:7" x14ac:dyDescent="0.2">
      <c r="A62" s="870" t="s">
        <v>481</v>
      </c>
      <c r="B62" s="870" t="s">
        <v>1994</v>
      </c>
      <c r="C62" s="887">
        <f>'Expenditures 15-22'!B185</f>
        <v>3000</v>
      </c>
      <c r="D62" s="877" t="s">
        <v>469</v>
      </c>
      <c r="E62" s="869"/>
      <c r="F62" s="1939">
        <f>'Expenditures 15-22'!K185-SUM('Expenditures 15-22'!G185,'Expenditures 15-22'!I185)</f>
        <v>0</v>
      </c>
      <c r="G62" s="866"/>
    </row>
    <row r="63" spans="1:7" x14ac:dyDescent="0.2">
      <c r="A63" s="870" t="s">
        <v>481</v>
      </c>
      <c r="B63" s="870" t="s">
        <v>1995</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1996</v>
      </c>
      <c r="C64" s="897" t="str">
        <f>'Expenditures 15-22'!B206</f>
        <v>5300</v>
      </c>
      <c r="D64" s="893" t="s">
        <v>329</v>
      </c>
      <c r="E64" s="869"/>
      <c r="F64" s="1939">
        <f>'Expenditures 15-22'!K206</f>
        <v>0</v>
      </c>
      <c r="G64" s="866"/>
    </row>
    <row r="65" spans="1:8" x14ac:dyDescent="0.2">
      <c r="A65" s="870" t="s">
        <v>481</v>
      </c>
      <c r="B65" s="870" t="s">
        <v>1997</v>
      </c>
      <c r="C65" s="887" t="s">
        <v>1039</v>
      </c>
      <c r="D65" s="886" t="s">
        <v>1157</v>
      </c>
      <c r="E65" s="869"/>
      <c r="F65" s="1939">
        <f>'Expenditures 15-22'!G210</f>
        <v>0</v>
      </c>
      <c r="G65" s="866"/>
    </row>
    <row r="66" spans="1:8" x14ac:dyDescent="0.2">
      <c r="A66" s="870" t="s">
        <v>481</v>
      </c>
      <c r="B66" s="870" t="s">
        <v>1998</v>
      </c>
      <c r="C66" s="887" t="s">
        <v>1039</v>
      </c>
      <c r="D66" s="886" t="s">
        <v>309</v>
      </c>
      <c r="E66" s="869"/>
      <c r="F66" s="1939">
        <f>'Expenditures 15-22'!I210</f>
        <v>0</v>
      </c>
      <c r="G66" s="866"/>
    </row>
    <row r="67" spans="1:8" x14ac:dyDescent="0.2">
      <c r="A67" s="870" t="s">
        <v>482</v>
      </c>
      <c r="B67" s="870" t="s">
        <v>1999</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2000</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2001</v>
      </c>
      <c r="C70" s="887">
        <f>'Expenditures 15-22'!B221</f>
        <v>1300</v>
      </c>
      <c r="D70" s="888" t="str">
        <f>'Expenditures 15-22'!A221</f>
        <v>Adult/Continuing Education Programs</v>
      </c>
      <c r="E70" s="869"/>
      <c r="F70" s="1939">
        <f>'Expenditures 15-22'!K221</f>
        <v>0</v>
      </c>
      <c r="G70" s="866"/>
    </row>
    <row r="71" spans="1:8" x14ac:dyDescent="0.2">
      <c r="A71" s="870" t="s">
        <v>482</v>
      </c>
      <c r="B71" s="870" t="s">
        <v>2002</v>
      </c>
      <c r="C71" s="887">
        <f>'Expenditures 15-22'!B224</f>
        <v>1600</v>
      </c>
      <c r="D71" s="888" t="str">
        <f>'Expenditures 15-22'!A224</f>
        <v>Summer School Programs</v>
      </c>
      <c r="E71" s="869"/>
      <c r="F71" s="1939">
        <f>'Expenditures 15-22'!K224</f>
        <v>0</v>
      </c>
      <c r="G71" s="866"/>
    </row>
    <row r="72" spans="1:8" x14ac:dyDescent="0.2">
      <c r="A72" s="870" t="s">
        <v>482</v>
      </c>
      <c r="B72" s="870" t="s">
        <v>2003</v>
      </c>
      <c r="C72" s="887">
        <f>'Expenditures 15-22'!B280</f>
        <v>3000</v>
      </c>
      <c r="D72" s="877" t="s">
        <v>469</v>
      </c>
      <c r="E72" s="869"/>
      <c r="F72" s="1939">
        <f>'Expenditures 15-22'!K280</f>
        <v>0</v>
      </c>
      <c r="G72" s="866"/>
    </row>
    <row r="73" spans="1:8" x14ac:dyDescent="0.2">
      <c r="A73" s="870" t="s">
        <v>482</v>
      </c>
      <c r="B73" s="870" t="s">
        <v>2004</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2005</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2006</v>
      </c>
      <c r="E76" s="1796" t="s">
        <v>1015</v>
      </c>
      <c r="F76" s="1800">
        <f>SUM(F18:F74)</f>
        <v>59424</v>
      </c>
      <c r="G76" s="866"/>
    </row>
    <row r="77" spans="1:8" s="894" customFormat="1" ht="12" customHeight="1" thickTop="1" thickBot="1" x14ac:dyDescent="0.25">
      <c r="A77" s="1801"/>
      <c r="B77" s="1798"/>
      <c r="C77" s="1794"/>
      <c r="D77" s="1799" t="s">
        <v>2007</v>
      </c>
      <c r="E77" s="1796"/>
      <c r="F77" s="1802">
        <f>(F14-F76)</f>
        <v>3798916</v>
      </c>
      <c r="G77" s="870"/>
    </row>
    <row r="78" spans="1:8" s="894" customFormat="1" ht="12" customHeight="1" thickTop="1" x14ac:dyDescent="0.2">
      <c r="A78" s="1803"/>
      <c r="B78" s="1798"/>
      <c r="C78" s="1794"/>
      <c r="D78" s="1799" t="s">
        <v>2053</v>
      </c>
      <c r="E78" s="1796"/>
      <c r="F78" s="899">
        <v>0</v>
      </c>
      <c r="G78" s="900"/>
      <c r="H78" s="870"/>
    </row>
    <row r="79" spans="1:8" s="894" customFormat="1" ht="12" customHeight="1" thickBot="1" x14ac:dyDescent="0.25">
      <c r="A79" s="1804"/>
      <c r="B79" s="1798"/>
      <c r="C79" s="1794"/>
      <c r="D79" s="1799" t="s">
        <v>2008</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83" t="s">
        <v>1167</v>
      </c>
      <c r="B81" s="2284"/>
      <c r="C81" s="2284"/>
      <c r="D81" s="2284"/>
      <c r="E81" s="2284"/>
      <c r="F81" s="228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287192</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53091</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1324847</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40566</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57916</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2052</v>
      </c>
      <c r="C175" s="1946">
        <v>3100</v>
      </c>
      <c r="D175" s="1947" t="s">
        <v>2055</v>
      </c>
      <c r="E175" s="907"/>
      <c r="F175" s="1931"/>
      <c r="G175" s="928"/>
    </row>
    <row r="176" spans="1:7" x14ac:dyDescent="0.2">
      <c r="A176" s="1944" t="s">
        <v>685</v>
      </c>
      <c r="B176" s="1945" t="s">
        <v>2052</v>
      </c>
      <c r="C176" s="1946">
        <v>3300</v>
      </c>
      <c r="D176" s="1947" t="s">
        <v>2056</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2009</v>
      </c>
      <c r="E178" s="1809" t="s">
        <v>1015</v>
      </c>
      <c r="F178" s="1810">
        <f>SUM(F84:F136,F161:F176)</f>
        <v>1763612</v>
      </c>
    </row>
    <row r="179" spans="1:7" ht="12" customHeight="1" x14ac:dyDescent="0.2">
      <c r="A179" s="1792"/>
      <c r="B179" s="1806"/>
      <c r="C179" s="1807"/>
      <c r="D179" s="1808" t="s">
        <v>2010</v>
      </c>
      <c r="E179" s="1809"/>
      <c r="F179" s="1811">
        <f>'PCTC-OEPP 27-28'!F77-F178</f>
        <v>2035304</v>
      </c>
    </row>
    <row r="180" spans="1:7" ht="12" customHeight="1" x14ac:dyDescent="0.2">
      <c r="A180" s="1792"/>
      <c r="B180" s="1806"/>
      <c r="C180" s="1807"/>
      <c r="D180" s="1808" t="s">
        <v>1920</v>
      </c>
      <c r="E180" s="1809"/>
      <c r="F180" s="1811">
        <f>'Cap Outlay Deprec 26'!I18</f>
        <v>13264.2</v>
      </c>
    </row>
    <row r="181" spans="1:7" ht="12" customHeight="1" x14ac:dyDescent="0.2">
      <c r="A181" s="1792"/>
      <c r="B181" s="1806"/>
      <c r="C181" s="1807"/>
      <c r="D181" s="1808" t="s">
        <v>2011</v>
      </c>
      <c r="E181" s="1809"/>
      <c r="F181" s="1811">
        <f>F179+F180</f>
        <v>2048568.2</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2012</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48" customFormat="1" ht="12.2" customHeight="1" x14ac:dyDescent="0.2">
      <c r="A186" s="1948" t="s">
        <v>2059</v>
      </c>
      <c r="B186" s="1949"/>
      <c r="C186" s="1950"/>
      <c r="D186" s="1949"/>
      <c r="E186" s="1950"/>
      <c r="F186" s="1949"/>
      <c r="G186" s="1949"/>
    </row>
    <row r="187" spans="1:7" s="1948" customFormat="1" ht="12.2" customHeight="1" x14ac:dyDescent="0.2">
      <c r="A187" s="1951" t="s">
        <v>2060</v>
      </c>
      <c r="C187" s="1950"/>
      <c r="D187" s="1949"/>
      <c r="E187" s="1950"/>
      <c r="F187" s="1949"/>
      <c r="G187" s="1949"/>
    </row>
    <row r="188" spans="1:7" ht="12" customHeight="1" x14ac:dyDescent="0.2">
      <c r="C188" s="950"/>
      <c r="D188" s="931"/>
      <c r="E188" s="950"/>
      <c r="F188" s="931"/>
      <c r="G188" s="931"/>
    </row>
    <row r="189" spans="1:7" x14ac:dyDescent="0.2">
      <c r="A189" s="1952" t="s">
        <v>2058</v>
      </c>
      <c r="B189" s="1953"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6ahwpZtglzK9fA1XZSCMxOyvq2LDgdN6+8Q5V6Su4DeyiqmCQ1XL+iRlE2ywJBHCOt+/Cq2PHB1a5S+f48o7g==" saltValue="u9/GoMUnXYc28JyEO/5GTw=="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1936</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7" t="s">
        <v>1921</v>
      </c>
      <c r="B4" s="2298"/>
      <c r="C4" s="2298"/>
      <c r="D4" s="2298"/>
      <c r="E4" s="2298"/>
      <c r="F4" s="2298"/>
      <c r="G4" s="2299"/>
    </row>
    <row r="5" spans="1:7" x14ac:dyDescent="0.25">
      <c r="A5" s="2300"/>
      <c r="B5" s="2301"/>
      <c r="C5" s="2301"/>
      <c r="D5" s="2301"/>
      <c r="E5" s="2301"/>
      <c r="F5" s="2301"/>
      <c r="G5" s="2302"/>
    </row>
    <row r="6" spans="1:7" ht="18.75" x14ac:dyDescent="0.25">
      <c r="A6" s="1556" t="s">
        <v>1922</v>
      </c>
      <c r="B6" s="1557"/>
      <c r="C6" s="1557"/>
      <c r="D6" s="1557"/>
      <c r="E6" s="1557"/>
      <c r="F6" s="1557"/>
      <c r="G6" s="1558"/>
    </row>
    <row r="7" spans="1:7" ht="30.75" customHeight="1" x14ac:dyDescent="0.25">
      <c r="A7" s="2303" t="s">
        <v>2069</v>
      </c>
      <c r="B7" s="2304"/>
      <c r="C7" s="2304"/>
      <c r="D7" s="2304"/>
      <c r="E7" s="2304"/>
      <c r="F7" s="2304"/>
      <c r="G7" s="2305"/>
    </row>
    <row r="8" spans="1:7" ht="15.75" customHeight="1" x14ac:dyDescent="0.25">
      <c r="A8" s="2306" t="s">
        <v>2018</v>
      </c>
      <c r="B8" s="2307"/>
      <c r="C8" s="2307"/>
      <c r="D8" s="2307"/>
      <c r="E8" s="2307"/>
      <c r="F8" s="2307"/>
      <c r="G8" s="2308"/>
    </row>
    <row r="9" spans="1:7" ht="35.25" customHeight="1" x14ac:dyDescent="0.25">
      <c r="A9" s="2303" t="s">
        <v>2072</v>
      </c>
      <c r="B9" s="2304"/>
      <c r="C9" s="2304"/>
      <c r="D9" s="2304"/>
      <c r="E9" s="2304"/>
      <c r="F9" s="2304"/>
      <c r="G9" s="2305"/>
    </row>
    <row r="10" spans="1:7" ht="15" customHeight="1" x14ac:dyDescent="0.25">
      <c r="A10" s="1559" t="s">
        <v>1923</v>
      </c>
      <c r="B10" s="1560"/>
      <c r="C10" s="1560"/>
      <c r="D10" s="1560"/>
      <c r="E10" s="1560"/>
      <c r="F10" s="1560"/>
      <c r="G10" s="1561"/>
    </row>
    <row r="11" spans="1:7" ht="17.25" customHeight="1" x14ac:dyDescent="0.25">
      <c r="A11" s="2303" t="s">
        <v>2071</v>
      </c>
      <c r="B11" s="2304"/>
      <c r="C11" s="2304"/>
      <c r="D11" s="2304"/>
      <c r="E11" s="2304"/>
      <c r="F11" s="2304"/>
      <c r="G11" s="2305"/>
    </row>
    <row r="12" spans="1:7" ht="15" customHeight="1" x14ac:dyDescent="0.25">
      <c r="A12" s="1559" t="s">
        <v>1928</v>
      </c>
      <c r="B12" s="1560"/>
      <c r="C12" s="1560"/>
      <c r="D12" s="1560"/>
      <c r="E12" s="1560"/>
      <c r="F12" s="1560"/>
      <c r="G12" s="1561"/>
    </row>
    <row r="13" spans="1:7" ht="32.25" customHeight="1" x14ac:dyDescent="0.25">
      <c r="A13" s="2294" t="s">
        <v>1929</v>
      </c>
      <c r="B13" s="2295"/>
      <c r="C13" s="2295"/>
      <c r="D13" s="2295"/>
      <c r="E13" s="2295"/>
      <c r="F13" s="2295"/>
      <c r="G13" s="2296"/>
    </row>
    <row r="14" spans="1:7" x14ac:dyDescent="0.25">
      <c r="A14" s="1683" t="s">
        <v>1937</v>
      </c>
      <c r="B14" s="1684"/>
      <c r="C14" s="1684"/>
      <c r="D14" s="1684"/>
      <c r="E14" s="1684"/>
      <c r="F14" s="1684"/>
      <c r="G14" s="1685"/>
    </row>
    <row r="15" spans="1:7" ht="61.5" customHeight="1" x14ac:dyDescent="0.25">
      <c r="A15" s="1568" t="s">
        <v>1930</v>
      </c>
      <c r="B15" s="1568" t="s">
        <v>1931</v>
      </c>
      <c r="C15" s="1568" t="s">
        <v>1932</v>
      </c>
      <c r="D15" s="1569" t="s">
        <v>1933</v>
      </c>
      <c r="E15" s="1569" t="s">
        <v>1924</v>
      </c>
      <c r="F15" s="1569" t="s">
        <v>1934</v>
      </c>
      <c r="G15" s="1569" t="s">
        <v>1935</v>
      </c>
    </row>
    <row r="16" spans="1:7" x14ac:dyDescent="0.25">
      <c r="A16" s="1670" t="s">
        <v>1938</v>
      </c>
      <c r="B16" s="1671" t="s">
        <v>1927</v>
      </c>
      <c r="C16" s="1672" t="s">
        <v>1925</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4" t="s">
        <v>2110</v>
      </c>
      <c r="B17" s="1967"/>
      <c r="C17" s="1963" t="s">
        <v>2110</v>
      </c>
      <c r="D17" s="1867">
        <v>0</v>
      </c>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&amp;L&amp;8Page 29&amp;R&amp;8Page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9" t="s">
        <v>1777</v>
      </c>
      <c r="B5" s="2310"/>
      <c r="C5" s="2310"/>
      <c r="D5" s="2310"/>
      <c r="E5" s="2310"/>
      <c r="F5" s="2310"/>
      <c r="G5" s="231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c r="F10" s="975"/>
      <c r="G10" s="976"/>
      <c r="H10" s="162"/>
      <c r="I10" s="162"/>
    </row>
    <row r="11" spans="1:9" s="669" customFormat="1" ht="22.5" customHeight="1" x14ac:dyDescent="0.2">
      <c r="A11" s="2314" t="s">
        <v>1940</v>
      </c>
      <c r="B11" s="2315"/>
      <c r="C11" s="2315"/>
      <c r="D11" s="2316"/>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1511769</v>
      </c>
      <c r="F19" s="1822"/>
      <c r="G19" s="1824">
        <f>'Expenditures 15-22'!K33-SUM('Expenditures 15-22'!G33,'Expenditures 15-22'!I33)+'Expenditures 15-22'!D229</f>
        <v>1511769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1556990</v>
      </c>
      <c r="F21" s="1825"/>
      <c r="G21" s="1828">
        <f>'Expenditures 15-22'!K42-SUM('Expenditures 15-22'!G42,'Expenditures 15-22'!I42)+'Expenditures 15-22'!K120-SUM('Expenditures 15-22'!G120,'Expenditures 15-22'!I120)+'Expenditures 15-22'!K180-SUM('Expenditures 15-22'!G180,'Expenditures 15-22'!I180)+'Expenditures 15-22'!D238</f>
        <v>1556990</v>
      </c>
      <c r="H21" s="988"/>
      <c r="I21" s="162"/>
    </row>
    <row r="22" spans="1:9" s="669" customFormat="1" ht="12" customHeight="1" x14ac:dyDescent="0.2">
      <c r="A22" s="995" t="s">
        <v>585</v>
      </c>
      <c r="B22" s="996"/>
      <c r="C22" s="994">
        <v>2200</v>
      </c>
      <c r="D22" s="1825"/>
      <c r="E22" s="1827">
        <f>'Expenditures 15-22'!K47-SUM('Expenditures 15-22'!G47,'Expenditures 15-22'!I47)+'Expenditures 15-22'!D243</f>
        <v>67202</v>
      </c>
      <c r="F22" s="1825"/>
      <c r="G22" s="1828">
        <f>'Expenditures 15-22'!K47-SUM('Expenditures 15-22'!G47,'Expenditures 15-22'!I47)+'Expenditures 15-22'!D243</f>
        <v>67202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624682</v>
      </c>
      <c r="F23" s="1825"/>
      <c r="G23" s="1827">
        <f>'Expenditures 15-22'!K53-SUM('Expenditures 15-22'!G53,'Expenditures 15-22'!I53)+'Expenditures 15-22'!D257+'Expenditures 15-22'!K330-SUM('Expenditures 15-22'!G330,'Expenditures 15-22'!I330)</f>
        <v>624682</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2500</v>
      </c>
      <c r="E27" s="1827">
        <f>E8</f>
        <v>0</v>
      </c>
      <c r="F27" s="1827">
        <f>'Expenditures 15-22'!K60-SUM('Expenditures 15-22'!G60,'Expenditures 15-22'!I60)+'Expenditures 15-22'!D264-E8</f>
        <v>2500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6514</v>
      </c>
      <c r="F28" s="1829">
        <f>'Expenditures 15-22'!K61-SUM('Expenditures 15-22'!G61,'Expenditures 15-22'!I61)+'Expenditures 15-22'!K124-SUM('Expenditures 15-22'!G124,'Expenditures 15-22'!I124)+'Expenditures 15-22'!D266-E9</f>
        <v>6514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21679</v>
      </c>
      <c r="E31" s="1827">
        <f>E12</f>
        <v>0</v>
      </c>
      <c r="F31" s="1827">
        <f>'Expenditures 15-22'!K64-SUM('Expenditures 15-22'!G64,'Expenditures 15-22'!I64)+'Expenditures 15-22'!D269-E12</f>
        <v>21679</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7580</v>
      </c>
      <c r="E37" s="1827">
        <f>E14</f>
        <v>0</v>
      </c>
      <c r="F37" s="1827">
        <f>'Expenditures 15-22'!K71-SUM('Expenditures 15-22'!G71,'Expenditures 15-22'!I71)+'Expenditures 15-22'!D276-E14</f>
        <v>7580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1926</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31759</v>
      </c>
      <c r="E41" s="1829">
        <f>SUM(E19:E40)</f>
        <v>3767157</v>
      </c>
      <c r="F41" s="1829">
        <f>SUM(F19:F39)</f>
        <v>38273</v>
      </c>
      <c r="G41" s="1829">
        <f>SUM(G19:G40)</f>
        <v>3760643</v>
      </c>
    </row>
    <row r="42" spans="1:7" x14ac:dyDescent="0.2">
      <c r="A42" s="988"/>
      <c r="B42" s="162"/>
      <c r="C42" s="1002"/>
      <c r="D42" s="2312" t="s">
        <v>543</v>
      </c>
      <c r="E42" s="2313"/>
      <c r="F42" s="1003" t="s">
        <v>544</v>
      </c>
      <c r="G42" s="1004"/>
    </row>
    <row r="43" spans="1:7" ht="12" customHeight="1" x14ac:dyDescent="0.2">
      <c r="A43" s="988"/>
      <c r="B43" s="162"/>
      <c r="C43" s="1002"/>
      <c r="D43" s="1830" t="s">
        <v>493</v>
      </c>
      <c r="E43" s="1831">
        <f>D41</f>
        <v>31759</v>
      </c>
      <c r="F43" s="1830" t="s">
        <v>495</v>
      </c>
      <c r="G43" s="1831">
        <f>F41</f>
        <v>38273</v>
      </c>
    </row>
    <row r="44" spans="1:7" ht="12" customHeight="1" x14ac:dyDescent="0.2">
      <c r="A44" s="988"/>
      <c r="B44" s="162"/>
      <c r="C44" s="1002"/>
      <c r="D44" s="1830" t="s">
        <v>494</v>
      </c>
      <c r="E44" s="1831">
        <f>E41</f>
        <v>3767157</v>
      </c>
      <c r="F44" s="1830" t="s">
        <v>494</v>
      </c>
      <c r="G44" s="1831">
        <f>G41</f>
        <v>3760643</v>
      </c>
    </row>
    <row r="45" spans="1:7" ht="12" customHeight="1" x14ac:dyDescent="0.2">
      <c r="A45" s="988"/>
      <c r="B45" s="162"/>
      <c r="C45" s="162"/>
      <c r="D45" s="1832" t="s">
        <v>1063</v>
      </c>
      <c r="E45" s="1833">
        <f>(E43/E44)</f>
        <v>8.4304954638205944E-3</v>
      </c>
      <c r="F45" s="1832" t="s">
        <v>1063</v>
      </c>
      <c r="G45" s="1833">
        <f>(G43/G44)</f>
        <v>1.017724894386412E-2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31" t="s">
        <v>1446</v>
      </c>
      <c r="B1" s="2331"/>
      <c r="C1" s="2331"/>
      <c r="D1" s="2331"/>
      <c r="E1" s="2331"/>
      <c r="F1" s="2331"/>
    </row>
    <row r="2" spans="1:10" x14ac:dyDescent="0.2">
      <c r="A2" s="1912" t="s">
        <v>2042</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32" t="s">
        <v>1627</v>
      </c>
      <c r="B5" s="2333"/>
      <c r="C5" s="2334"/>
      <c r="D5" s="2334"/>
      <c r="E5" s="2334"/>
      <c r="F5" s="2334"/>
    </row>
    <row r="6" spans="1:10" ht="12" customHeight="1" x14ac:dyDescent="0.25">
      <c r="A6" s="1875"/>
      <c r="B6" s="1876"/>
      <c r="C6" s="2335" t="str">
        <f>COVER!A17</f>
        <v>Knox Warren SpEd District</v>
      </c>
      <c r="D6" s="2335"/>
      <c r="E6" s="2335"/>
      <c r="F6" s="1877"/>
    </row>
    <row r="7" spans="1:10" ht="11.25" customHeight="1" thickBot="1" x14ac:dyDescent="0.3">
      <c r="A7" s="1875"/>
      <c r="B7" s="1876"/>
      <c r="C7" s="2336">
        <f>COVER!A13</f>
        <v>33048801060</v>
      </c>
      <c r="D7" s="2336"/>
      <c r="E7" s="2336"/>
      <c r="F7" s="1877"/>
    </row>
    <row r="8" spans="1:10" ht="25.5" customHeight="1" thickBot="1" x14ac:dyDescent="0.25">
      <c r="A8" s="1918" t="s">
        <v>2019</v>
      </c>
      <c r="B8" s="1878"/>
      <c r="C8" s="1914" t="s">
        <v>1779</v>
      </c>
      <c r="D8" s="1913" t="s">
        <v>1780</v>
      </c>
      <c r="E8" s="1915" t="s">
        <v>1447</v>
      </c>
      <c r="F8" s="1913" t="s">
        <v>1781</v>
      </c>
      <c r="H8" s="1879" t="b">
        <v>0</v>
      </c>
    </row>
    <row r="9" spans="1:10" ht="15.75" customHeight="1" x14ac:dyDescent="0.2">
      <c r="A9" s="1880" t="s">
        <v>1623</v>
      </c>
      <c r="B9" s="1881"/>
      <c r="C9" s="1882"/>
      <c r="D9" s="1882"/>
      <c r="E9" s="1883"/>
      <c r="F9" s="1884"/>
    </row>
    <row r="10" spans="1:10" ht="27.75" customHeight="1" x14ac:dyDescent="0.2">
      <c r="A10" s="1885" t="s">
        <v>1778</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t="s">
        <v>2074</v>
      </c>
      <c r="E19" s="1893"/>
      <c r="F19" s="1892" t="s">
        <v>2091</v>
      </c>
      <c r="H19" s="1903">
        <f t="shared" si="0"/>
        <v>0</v>
      </c>
      <c r="I19" s="1903">
        <f t="shared" si="1"/>
        <v>5</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t="s">
        <v>2074</v>
      </c>
      <c r="E26" s="1893"/>
      <c r="F26" s="1892" t="s">
        <v>2092</v>
      </c>
      <c r="H26" s="1903">
        <f t="shared" si="0"/>
        <v>0</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0</v>
      </c>
      <c r="I34" s="1903">
        <f>SUM(I11:I32)</f>
        <v>10</v>
      </c>
      <c r="J34" s="1903">
        <f>SUM(J11:J32)</f>
        <v>0</v>
      </c>
      <c r="K34" s="1903">
        <f>SUM(H34:J34)</f>
        <v>10</v>
      </c>
    </row>
    <row r="35" spans="1:11" ht="12" customHeight="1" x14ac:dyDescent="0.2">
      <c r="A35" s="1896" t="s">
        <v>1459</v>
      </c>
      <c r="B35" s="1897"/>
      <c r="C35" s="2337"/>
      <c r="D35" s="2337"/>
      <c r="E35" s="2337"/>
      <c r="F35" s="2338"/>
    </row>
    <row r="36" spans="1:11" ht="12" customHeight="1" x14ac:dyDescent="0.2">
      <c r="A36" s="2320"/>
      <c r="B36" s="2321"/>
      <c r="C36" s="2321"/>
      <c r="D36" s="2321"/>
      <c r="E36" s="2321"/>
      <c r="F36" s="2322"/>
    </row>
    <row r="37" spans="1:11" ht="12" customHeight="1" x14ac:dyDescent="0.2">
      <c r="A37" s="2320"/>
      <c r="B37" s="2321"/>
      <c r="C37" s="2321"/>
      <c r="D37" s="2321"/>
      <c r="E37" s="2321"/>
      <c r="F37" s="2322"/>
    </row>
    <row r="38" spans="1:11" ht="12" customHeight="1" x14ac:dyDescent="0.2">
      <c r="A38" s="2323"/>
      <c r="B38" s="2324"/>
      <c r="C38" s="2324"/>
      <c r="D38" s="2324"/>
      <c r="E38" s="2324"/>
      <c r="F38" s="2325"/>
    </row>
    <row r="39" spans="1:11" ht="4.5" hidden="1" customHeight="1" x14ac:dyDescent="0.2">
      <c r="A39" s="1898"/>
      <c r="B39" s="1898"/>
      <c r="C39" s="1898"/>
      <c r="D39" s="1898"/>
      <c r="E39" s="1898"/>
      <c r="F39" s="1898"/>
    </row>
    <row r="40" spans="1:11" s="1895" customFormat="1" ht="12" customHeight="1" x14ac:dyDescent="0.25">
      <c r="A40" s="1899" t="s">
        <v>1458</v>
      </c>
      <c r="B40" s="1900"/>
      <c r="C40" s="2326"/>
      <c r="D40" s="2326"/>
      <c r="E40" s="2326"/>
      <c r="F40" s="2327"/>
      <c r="H40" s="1904"/>
      <c r="I40" s="1904"/>
      <c r="J40" s="1904"/>
      <c r="K40" s="1904"/>
    </row>
    <row r="41" spans="1:11" s="1895" customFormat="1" ht="12" customHeight="1" x14ac:dyDescent="0.25">
      <c r="A41" s="2328" t="s">
        <v>2093</v>
      </c>
      <c r="B41" s="2329"/>
      <c r="C41" s="2329"/>
      <c r="D41" s="2329"/>
      <c r="E41" s="2329"/>
      <c r="F41" s="2330"/>
      <c r="H41" s="1904"/>
      <c r="I41" s="1904"/>
      <c r="J41" s="1904"/>
      <c r="K41" s="1904"/>
    </row>
    <row r="42" spans="1:11" s="1895" customFormat="1" ht="12" customHeight="1" x14ac:dyDescent="0.25">
      <c r="A42" s="2328"/>
      <c r="B42" s="2329"/>
      <c r="C42" s="2329"/>
      <c r="D42" s="2329"/>
      <c r="E42" s="2329"/>
      <c r="F42" s="2330"/>
      <c r="H42" s="1904"/>
      <c r="I42" s="1904"/>
      <c r="J42" s="1904"/>
      <c r="K42" s="1904"/>
    </row>
    <row r="43" spans="1:11" s="1895" customFormat="1" ht="15" x14ac:dyDescent="0.25">
      <c r="A43" s="2317"/>
      <c r="B43" s="2318"/>
      <c r="C43" s="2318"/>
      <c r="D43" s="2318"/>
      <c r="E43" s="2318"/>
      <c r="F43" s="2319"/>
      <c r="H43" s="1904"/>
      <c r="I43" s="1904"/>
      <c r="J43" s="1904"/>
      <c r="K43" s="1904"/>
    </row>
    <row r="44" spans="1:11" s="1895" customFormat="1" ht="12" hidden="1" customHeight="1" x14ac:dyDescent="0.25">
      <c r="A44" s="2317"/>
      <c r="B44" s="2318"/>
      <c r="C44" s="2318"/>
      <c r="D44" s="2318"/>
      <c r="E44" s="2318"/>
      <c r="F44" s="2319"/>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Header>&amp;L&amp;8Page 31&amp;R&amp;8Page 31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4" t="str">
        <f>COVER!A17</f>
        <v>Knox Warren SpEd District</v>
      </c>
      <c r="J6" s="2345"/>
      <c r="Q6" s="1686"/>
    </row>
    <row r="7" spans="1:17" x14ac:dyDescent="0.2">
      <c r="A7" s="2346" t="s">
        <v>924</v>
      </c>
      <c r="B7" s="2347"/>
      <c r="C7" s="2347"/>
      <c r="D7" s="2347"/>
      <c r="E7" s="2348"/>
      <c r="F7" s="1018"/>
      <c r="G7" s="1010"/>
      <c r="H7" s="1017" t="s">
        <v>390</v>
      </c>
      <c r="I7" s="2349">
        <f>COVER!A13</f>
        <v>33048801060</v>
      </c>
      <c r="J7" s="234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0" t="s">
        <v>502</v>
      </c>
      <c r="B11" s="2351"/>
      <c r="C11" s="235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47997</v>
      </c>
      <c r="F12" s="1040"/>
      <c r="G12" s="1834">
        <f t="shared" ref="G12:G18" si="0">SUM(E12:F12)</f>
        <v>47997</v>
      </c>
      <c r="H12" s="1041"/>
      <c r="I12" s="1040"/>
      <c r="J12" s="1834">
        <f t="shared" ref="J12:J18" si="1">SUM(H12:I12)</f>
        <v>0</v>
      </c>
    </row>
    <row r="13" spans="1:17" ht="15" customHeight="1" x14ac:dyDescent="0.2">
      <c r="A13" s="1036">
        <v>2</v>
      </c>
      <c r="B13" s="1037" t="s">
        <v>44</v>
      </c>
      <c r="C13" s="1038"/>
      <c r="D13" s="1039">
        <v>2330</v>
      </c>
      <c r="E13" s="1834">
        <f>'Expenditures 15-22'!K51</f>
        <v>468352</v>
      </c>
      <c r="F13" s="1040"/>
      <c r="G13" s="1834">
        <f t="shared" si="0"/>
        <v>468352</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21679</v>
      </c>
      <c r="F16" s="1040"/>
      <c r="G16" s="1834">
        <f t="shared" si="0"/>
        <v>21679</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3" t="s">
        <v>7</v>
      </c>
      <c r="C18" s="2354"/>
      <c r="D18" s="235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538028</v>
      </c>
      <c r="F19" s="1836">
        <f t="shared" si="2"/>
        <v>0</v>
      </c>
      <c r="G19" s="1836">
        <f t="shared" si="2"/>
        <v>538028</v>
      </c>
      <c r="H19" s="1836">
        <f t="shared" si="2"/>
        <v>0</v>
      </c>
      <c r="I19" s="1836">
        <f t="shared" si="2"/>
        <v>0</v>
      </c>
      <c r="J19" s="1836">
        <f t="shared" si="2"/>
        <v>0</v>
      </c>
    </row>
    <row r="20" spans="1:10" ht="13.5" thickTop="1" x14ac:dyDescent="0.2">
      <c r="A20" s="1036">
        <v>9</v>
      </c>
      <c r="B20" s="2356" t="s">
        <v>1702</v>
      </c>
      <c r="C20" s="2356"/>
      <c r="D20" s="2357"/>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62"/>
      <c r="D26" s="2362"/>
      <c r="E26" s="1051"/>
      <c r="F26" s="2361"/>
      <c r="G26" s="2361"/>
    </row>
    <row r="27" spans="1:10" x14ac:dyDescent="0.2">
      <c r="B27" s="1048"/>
      <c r="C27" s="1052" t="s">
        <v>1093</v>
      </c>
      <c r="D27" s="1053"/>
      <c r="E27" s="1054"/>
      <c r="F27" s="2358" t="s">
        <v>1589</v>
      </c>
      <c r="G27" s="2358"/>
    </row>
    <row r="28" spans="1:10" ht="28.5" customHeight="1" x14ac:dyDescent="0.2">
      <c r="B28" s="1048"/>
      <c r="C28" s="2360"/>
      <c r="D28" s="2360"/>
      <c r="E28" s="1055"/>
      <c r="F28" s="2360"/>
      <c r="G28" s="2360"/>
    </row>
    <row r="29" spans="1:10" x14ac:dyDescent="0.2">
      <c r="B29" s="1048"/>
      <c r="C29" s="1056" t="s">
        <v>1642</v>
      </c>
      <c r="E29" s="1057"/>
      <c r="F29" s="2359" t="s">
        <v>1590</v>
      </c>
      <c r="G29" s="235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1" t="s">
        <v>134</v>
      </c>
      <c r="D33" s="2342"/>
      <c r="E33" s="2342"/>
      <c r="F33" s="2342"/>
      <c r="G33" s="2342"/>
      <c r="H33" s="2342"/>
      <c r="I33" s="2342"/>
    </row>
    <row r="34" spans="1:10" ht="10.35" customHeight="1" x14ac:dyDescent="0.2">
      <c r="C34" s="2342"/>
      <c r="D34" s="2342"/>
      <c r="E34" s="2342"/>
      <c r="F34" s="2342"/>
      <c r="G34" s="2342"/>
      <c r="H34" s="2342"/>
      <c r="I34" s="2342"/>
    </row>
    <row r="35" spans="1:10" ht="7.5" customHeight="1" x14ac:dyDescent="0.2">
      <c r="C35" s="1063"/>
    </row>
    <row r="36" spans="1:10" ht="13.5" customHeight="1" x14ac:dyDescent="0.2">
      <c r="B36" s="1062"/>
      <c r="C36" s="2343" t="s">
        <v>1939</v>
      </c>
      <c r="D36" s="2342"/>
      <c r="E36" s="2342"/>
      <c r="F36" s="2342"/>
      <c r="G36" s="2342"/>
      <c r="H36" s="2342"/>
      <c r="I36" s="2342"/>
      <c r="J36" s="1064"/>
    </row>
    <row r="37" spans="1:10" ht="22.5" customHeight="1" x14ac:dyDescent="0.2">
      <c r="C37" s="2342"/>
      <c r="D37" s="2342"/>
      <c r="E37" s="2342"/>
      <c r="F37" s="2342"/>
      <c r="G37" s="2342"/>
      <c r="H37" s="2342"/>
      <c r="I37" s="2342"/>
      <c r="J37" s="1064"/>
    </row>
    <row r="38" spans="1:10" ht="7.5" customHeight="1" x14ac:dyDescent="0.2">
      <c r="C38" s="1063"/>
      <c r="D38" s="1065"/>
      <c r="E38" s="1066"/>
      <c r="F38" s="1067"/>
      <c r="G38" s="1066"/>
    </row>
    <row r="39" spans="1:10" ht="13.5" customHeight="1" x14ac:dyDescent="0.2">
      <c r="B39" s="1062"/>
      <c r="C39" s="2339" t="s">
        <v>937</v>
      </c>
      <c r="D39" s="2340"/>
      <c r="E39" s="2340"/>
      <c r="F39" s="2340"/>
      <c r="G39" s="2340"/>
      <c r="H39" s="2340"/>
      <c r="I39" s="234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topLeftCell="A4" zoomScale="110" zoomScaleNormal="110" workbookViewId="0">
      <selection activeCell="B11" sqref="B1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2094</v>
      </c>
    </row>
    <row r="6" spans="1:2" x14ac:dyDescent="0.2">
      <c r="A6" s="1069">
        <v>2</v>
      </c>
      <c r="B6" s="329" t="s">
        <v>2095</v>
      </c>
    </row>
    <row r="7" spans="1:2" x14ac:dyDescent="0.2">
      <c r="A7" s="1069"/>
      <c r="B7" s="329" t="s">
        <v>2096</v>
      </c>
    </row>
    <row r="8" spans="1:2" x14ac:dyDescent="0.2">
      <c r="A8" s="1069"/>
    </row>
    <row r="9" spans="1:2" x14ac:dyDescent="0.2">
      <c r="A9" s="1069"/>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Knox Warren SpEd District</v>
      </c>
    </row>
    <row r="65" spans="2:2" x14ac:dyDescent="0.2">
      <c r="B65" s="1071">
        <f>COVER!A13</f>
        <v>33048801060</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1707</v>
      </c>
    </row>
    <row r="22" spans="1:5" x14ac:dyDescent="0.2">
      <c r="A22" s="168"/>
      <c r="B22" s="162" t="s">
        <v>1963</v>
      </c>
      <c r="C22" s="162" t="s">
        <v>1231</v>
      </c>
      <c r="D22" s="167" t="s">
        <v>1965</v>
      </c>
      <c r="E22" s="1859" t="s">
        <v>1708</v>
      </c>
    </row>
    <row r="23" spans="1:5" x14ac:dyDescent="0.2">
      <c r="A23" s="168"/>
      <c r="B23" s="162" t="s">
        <v>1964</v>
      </c>
      <c r="D23" s="167" t="s">
        <v>658</v>
      </c>
      <c r="E23" s="1859" t="s">
        <v>1016</v>
      </c>
    </row>
    <row r="24" spans="1:5" x14ac:dyDescent="0.2">
      <c r="A24" s="168" t="s">
        <v>1706</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0" t="s">
        <v>1125</v>
      </c>
      <c r="B35" s="2080"/>
      <c r="C35" s="2080"/>
      <c r="D35" s="2080"/>
      <c r="E35" s="208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7" t="s">
        <v>715</v>
      </c>
      <c r="B40" s="2077"/>
      <c r="C40" s="2077"/>
      <c r="D40" s="2077"/>
      <c r="E40" s="2077"/>
    </row>
    <row r="41" spans="1:5" x14ac:dyDescent="0.2">
      <c r="A41" s="2078" t="s">
        <v>1705</v>
      </c>
      <c r="B41" s="2078"/>
      <c r="C41" s="2078"/>
      <c r="D41" s="2078"/>
      <c r="E41" s="2078"/>
    </row>
    <row r="42" spans="1:5" ht="12.75" customHeight="1" x14ac:dyDescent="0.2">
      <c r="A42" s="2079" t="s">
        <v>1080</v>
      </c>
      <c r="B42" s="2079"/>
      <c r="C42" s="2079"/>
      <c r="D42" s="2079"/>
      <c r="E42" s="2079"/>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7" t="s">
        <v>1875</v>
      </c>
    </row>
    <row r="60" spans="1:3" x14ac:dyDescent="0.2">
      <c r="A60" s="196"/>
      <c r="B60" s="1507"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8"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1782</v>
      </c>
    </row>
    <row r="17" spans="1:2" ht="6" customHeight="1" x14ac:dyDescent="0.2"/>
    <row r="18" spans="1:2" ht="24.75" customHeight="1" x14ac:dyDescent="0.2">
      <c r="A18" s="2363" t="s">
        <v>1783</v>
      </c>
      <c r="B18" s="236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6</xdr:row>
                <xdr:rowOff>0</xdr:rowOff>
              </from>
              <to>
                <xdr:col>1</xdr:col>
                <xdr:colOff>914400</xdr:colOff>
                <xdr:row>9</xdr:row>
                <xdr:rowOff>161925</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autoPict="0" r:id="rId7">
            <anchor moveWithCells="1">
              <from>
                <xdr:col>1</xdr:col>
                <xdr:colOff>1247775</xdr:colOff>
                <xdr:row>5</xdr:row>
                <xdr:rowOff>104775</xdr:rowOff>
              </from>
              <to>
                <xdr:col>1</xdr:col>
                <xdr:colOff>2162175</xdr:colOff>
                <xdr:row>10</xdr:row>
                <xdr:rowOff>19050</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K14" sqref="K1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4" t="s">
        <v>1789</v>
      </c>
      <c r="B1" s="2365"/>
      <c r="C1" s="2365"/>
      <c r="D1" s="2365"/>
      <c r="E1" s="2365"/>
      <c r="F1" s="2366"/>
    </row>
    <row r="2" spans="1:8" ht="45" customHeight="1" x14ac:dyDescent="0.2">
      <c r="A2" s="2374" t="s">
        <v>1790</v>
      </c>
      <c r="B2" s="2375"/>
      <c r="C2" s="2375"/>
      <c r="D2" s="2375"/>
      <c r="E2" s="2375"/>
      <c r="F2" s="2376"/>
      <c r="G2" s="1075"/>
      <c r="H2" s="1075"/>
    </row>
    <row r="3" spans="1:8" ht="57" customHeight="1" x14ac:dyDescent="0.2">
      <c r="A3" s="2377" t="s">
        <v>1785</v>
      </c>
      <c r="B3" s="2378"/>
      <c r="C3" s="2378"/>
      <c r="D3" s="2378"/>
      <c r="E3" s="2378"/>
      <c r="F3" s="2379"/>
      <c r="G3" s="1075"/>
      <c r="H3" s="1075"/>
    </row>
    <row r="4" spans="1:8" ht="14.25" customHeight="1" x14ac:dyDescent="0.2">
      <c r="A4" s="2383" t="s">
        <v>2050</v>
      </c>
      <c r="B4" s="2384"/>
      <c r="C4" s="2384"/>
      <c r="D4" s="2384"/>
      <c r="E4" s="2384"/>
      <c r="F4" s="2385"/>
      <c r="G4" s="1075"/>
      <c r="H4" s="1075"/>
    </row>
    <row r="5" spans="1:8" ht="14.25" customHeight="1" x14ac:dyDescent="0.2">
      <c r="A5" s="2386" t="s">
        <v>2051</v>
      </c>
      <c r="B5" s="2387"/>
      <c r="C5" s="2387"/>
      <c r="D5" s="2387"/>
      <c r="E5" s="2387"/>
      <c r="F5" s="2388"/>
      <c r="G5" s="1075"/>
      <c r="H5" s="1075"/>
    </row>
    <row r="6" spans="1:8" s="1076" customFormat="1" ht="41.25" customHeight="1" x14ac:dyDescent="0.2">
      <c r="A6" s="2380" t="s">
        <v>1791</v>
      </c>
      <c r="B6" s="2381"/>
      <c r="C6" s="2381"/>
      <c r="D6" s="2381"/>
      <c r="E6" s="2381"/>
      <c r="F6" s="238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4576877</v>
      </c>
      <c r="C8" s="1838">
        <f>'Acct Summary 7-8'!D8</f>
        <v>0</v>
      </c>
      <c r="D8" s="1838">
        <f>'Acct Summary 7-8'!F8</f>
        <v>0</v>
      </c>
      <c r="E8" s="1838">
        <f>'Acct Summary 7-8'!I8</f>
        <v>0</v>
      </c>
      <c r="F8" s="1838">
        <f>SUM(B8:E8)</f>
        <v>4576877</v>
      </c>
    </row>
    <row r="9" spans="1:8" s="1080" customFormat="1" ht="14.25" customHeight="1" thickBot="1" x14ac:dyDescent="0.25">
      <c r="A9" s="1079" t="s">
        <v>1436</v>
      </c>
      <c r="B9" s="1839">
        <f>'Acct Summary 7-8'!C17</f>
        <v>3858340</v>
      </c>
      <c r="C9" s="1839">
        <f>'Acct Summary 7-8'!D17</f>
        <v>0</v>
      </c>
      <c r="D9" s="1839">
        <f>'Acct Summary 7-8'!F17</f>
        <v>0</v>
      </c>
      <c r="E9" s="1838"/>
      <c r="F9" s="1838">
        <f>SUM(B9:E9)</f>
        <v>3858340</v>
      </c>
    </row>
    <row r="10" spans="1:8" s="1080" customFormat="1" ht="14.25" thickTop="1" thickBot="1" x14ac:dyDescent="0.25">
      <c r="A10" s="1081" t="s">
        <v>1437</v>
      </c>
      <c r="B10" s="1840">
        <f>(B8-B9)</f>
        <v>718537</v>
      </c>
      <c r="C10" s="1840">
        <f>(C8-C9)</f>
        <v>0</v>
      </c>
      <c r="D10" s="1840">
        <f>(D8-D9)</f>
        <v>0</v>
      </c>
      <c r="E10" s="1839">
        <f>(E8-E9)</f>
        <v>0</v>
      </c>
      <c r="F10" s="1841">
        <f>SUM(F8-F9)</f>
        <v>718537</v>
      </c>
    </row>
    <row r="11" spans="1:8" s="1080" customFormat="1" ht="14.25" thickTop="1" thickBot="1" x14ac:dyDescent="0.25">
      <c r="A11" s="1082" t="s">
        <v>1784</v>
      </c>
      <c r="B11" s="1842">
        <f>'Acct Summary 7-8'!C81</f>
        <v>718537</v>
      </c>
      <c r="C11" s="1842">
        <f>'Acct Summary 7-8'!D81</f>
        <v>0</v>
      </c>
      <c r="D11" s="1842">
        <f>'Acct Summary 7-8'!F81</f>
        <v>0</v>
      </c>
      <c r="E11" s="1842">
        <f>'Acct Summary 7-8'!I81</f>
        <v>0</v>
      </c>
      <c r="F11" s="1843">
        <f>SUM(B11:E11)</f>
        <v>718537</v>
      </c>
    </row>
    <row r="12" spans="1:8" ht="16.5" customHeight="1" thickTop="1" x14ac:dyDescent="0.2">
      <c r="A12" s="1083"/>
      <c r="B12" s="1084"/>
      <c r="C12" s="2368" t="str">
        <f>IF(AND(F10&lt;0,F11&gt;=0,ABS(F10*3)&gt;ABS(F11)),A16,IF(AND(F10&lt;0,F11&gt;0,ABS(F10*3)&lt;=ABS(F11)),A17,IF(AND(F10&lt;0,F11&lt;0),A16,IF(F11=0,A19,A18))))</f>
        <v>Balanced - no deficit reduction plan is required.</v>
      </c>
      <c r="D12" s="2369"/>
      <c r="E12" s="2369"/>
      <c r="F12" s="2370"/>
    </row>
    <row r="13" spans="1:8" ht="19.5" customHeight="1" x14ac:dyDescent="0.2">
      <c r="A13" s="1085"/>
      <c r="B13" s="1086"/>
      <c r="C13" s="2368"/>
      <c r="D13" s="2369"/>
      <c r="E13" s="2369"/>
      <c r="F13" s="2370"/>
      <c r="H13" s="1075"/>
    </row>
    <row r="14" spans="1:8" ht="19.5" customHeight="1" x14ac:dyDescent="0.2">
      <c r="A14" s="1085"/>
      <c r="B14" s="1086"/>
      <c r="C14" s="2368"/>
      <c r="D14" s="2369"/>
      <c r="E14" s="2369"/>
      <c r="F14" s="2370"/>
      <c r="H14" s="1075"/>
    </row>
    <row r="15" spans="1:8" ht="17.25" customHeight="1" x14ac:dyDescent="0.2">
      <c r="A15" s="1085"/>
      <c r="B15" s="1086"/>
      <c r="C15" s="2371"/>
      <c r="D15" s="2372"/>
      <c r="E15" s="2372"/>
      <c r="F15" s="2373"/>
      <c r="H15" s="1075"/>
    </row>
    <row r="16" spans="1:8" s="310" customFormat="1" ht="51.75" hidden="1" customHeight="1" x14ac:dyDescent="0.2">
      <c r="A16" s="2367" t="s">
        <v>1786</v>
      </c>
      <c r="B16" s="2367"/>
      <c r="C16" s="2367"/>
      <c r="D16" s="2367"/>
      <c r="E16" s="2367"/>
      <c r="F16" s="310" t="s">
        <v>1438</v>
      </c>
    </row>
    <row r="17" spans="1:6" hidden="1" x14ac:dyDescent="0.2">
      <c r="A17" s="316" t="s">
        <v>1787</v>
      </c>
      <c r="F17" s="1087"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9" t="s">
        <v>686</v>
      </c>
      <c r="B3" s="2390"/>
      <c r="C3" s="2390"/>
      <c r="D3" s="2391"/>
    </row>
    <row r="4" spans="1:4" x14ac:dyDescent="0.2">
      <c r="A4" s="1153" t="s">
        <v>1792</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0" t="s">
        <v>1584</v>
      </c>
      <c r="D7" s="2401"/>
    </row>
    <row r="8" spans="1:4" s="669" customFormat="1" ht="12.75" x14ac:dyDescent="0.2">
      <c r="A8" s="1139"/>
      <c r="B8" s="1094"/>
      <c r="C8" s="1097" t="s">
        <v>1583</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2" t="s">
        <v>1065</v>
      </c>
      <c r="B15" s="2393"/>
      <c r="C15" s="2393"/>
      <c r="D15" s="2394"/>
    </row>
    <row r="16" spans="1:4" s="669" customFormat="1" ht="24" customHeight="1" x14ac:dyDescent="0.2">
      <c r="A16" s="2395" t="s">
        <v>684</v>
      </c>
      <c r="B16" s="2396"/>
      <c r="C16" s="2396"/>
      <c r="D16" s="2397"/>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734</v>
      </c>
    </row>
    <row r="21" spans="1:10" x14ac:dyDescent="0.2">
      <c r="A21" s="1099"/>
      <c r="B21" s="1100">
        <v>1</v>
      </c>
      <c r="C21" s="2404" t="s">
        <v>332</v>
      </c>
      <c r="D21" s="2405"/>
    </row>
    <row r="22" spans="1:10" ht="12.75" x14ac:dyDescent="0.2">
      <c r="A22" s="1140"/>
      <c r="B22" s="1141">
        <v>2</v>
      </c>
      <c r="C22" s="2402" t="s">
        <v>1605</v>
      </c>
      <c r="D22" s="2403"/>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ENTER ACCOUNTING INFO</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6" t="s">
        <v>557</v>
      </c>
      <c r="D43" s="240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8" t="s">
        <v>817</v>
      </c>
      <c r="D56" s="239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1079</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398" t="s">
        <v>1796</v>
      </c>
      <c r="D70" s="239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33048801060</v>
      </c>
    </row>
    <row r="3" spans="1:2" x14ac:dyDescent="0.2">
      <c r="A3" t="s">
        <v>1013</v>
      </c>
      <c r="B3" s="138" t="str">
        <f>COVER!A15</f>
        <v>Knox and Warren</v>
      </c>
    </row>
    <row r="4" spans="1:2" x14ac:dyDescent="0.2">
      <c r="A4" t="s">
        <v>1064</v>
      </c>
      <c r="B4" s="138" t="str">
        <f>COVER!A17</f>
        <v>Knox Warren SpEd District</v>
      </c>
    </row>
    <row r="5" spans="1:2" x14ac:dyDescent="0.2">
      <c r="A5" t="s">
        <v>728</v>
      </c>
      <c r="B5" s="138" t="str">
        <f>COVER!A38</f>
        <v>Kim Deschamps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066-004769</v>
      </c>
    </row>
    <row r="16" spans="1:2" x14ac:dyDescent="0.2">
      <c r="A16" t="s">
        <v>442</v>
      </c>
      <c r="B16" s="138" t="str">
        <f>COVER!T13</f>
        <v>Meister, Hilton, Chitwood &amp; Associates,  Inc.</v>
      </c>
    </row>
    <row r="17" spans="1:2" x14ac:dyDescent="0.2">
      <c r="A17" t="s">
        <v>939</v>
      </c>
      <c r="B17" s="138" t="str">
        <f>COVER!T15</f>
        <v>Ron Hilton</v>
      </c>
    </row>
    <row r="18" spans="1:2" x14ac:dyDescent="0.2">
      <c r="A18" t="s">
        <v>1212</v>
      </c>
      <c r="B18" s="138" t="str">
        <f>COVER!T17</f>
        <v>809 W. Detweiller Drive, Suite 804</v>
      </c>
    </row>
    <row r="19" spans="1:2" x14ac:dyDescent="0.2">
      <c r="A19" t="s">
        <v>941</v>
      </c>
      <c r="B19" s="138" t="str">
        <f>COVER!T25</f>
        <v>ron.hilton1@comcast.net</v>
      </c>
    </row>
    <row r="20" spans="1:2" x14ac:dyDescent="0.2">
      <c r="A20" t="s">
        <v>942</v>
      </c>
      <c r="B20" s="138" t="str">
        <f>COVER!T19</f>
        <v>Peoria</v>
      </c>
    </row>
    <row r="21" spans="1:2" x14ac:dyDescent="0.2">
      <c r="A21" t="s">
        <v>500</v>
      </c>
      <c r="B21" s="138" t="str">
        <f>COVER!X19</f>
        <v>IL</v>
      </c>
    </row>
    <row r="22" spans="1:2" x14ac:dyDescent="0.2">
      <c r="A22" t="s">
        <v>943</v>
      </c>
      <c r="B22" s="138">
        <f>COVER!Z19</f>
        <v>61615</v>
      </c>
    </row>
    <row r="23" spans="1:2" x14ac:dyDescent="0.2">
      <c r="A23" t="s">
        <v>1214</v>
      </c>
      <c r="B23" s="138" t="str">
        <f>COVER!T21</f>
        <v>(309) 683-0441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2095283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24696</v>
      </c>
      <c r="D86" s="2" t="str">
        <f t="shared" si="0"/>
        <v>Error?</v>
      </c>
    </row>
    <row r="87" spans="1:4" x14ac:dyDescent="0.2">
      <c r="A87" s="10">
        <v>26</v>
      </c>
      <c r="D87" s="2" t="str">
        <f t="shared" si="0"/>
        <v>OK</v>
      </c>
    </row>
    <row r="88" spans="1:4" x14ac:dyDescent="0.2">
      <c r="A88" s="5">
        <v>27</v>
      </c>
      <c r="B88" s="138">
        <f>'Assets-Liab 5-6'!C32</f>
        <v>1008846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1376746</v>
      </c>
      <c r="C91" s="2" t="s">
        <v>594</v>
      </c>
      <c r="D91" s="2" t="str">
        <f t="shared" si="0"/>
        <v>Error?</v>
      </c>
    </row>
    <row r="92" spans="1:4" x14ac:dyDescent="0.2">
      <c r="A92" s="5">
        <v>31</v>
      </c>
      <c r="B92" s="138">
        <f>'Assets-Liab 5-6'!C39</f>
        <v>504212</v>
      </c>
      <c r="D92" s="2" t="str">
        <f t="shared" si="0"/>
        <v>Error?</v>
      </c>
    </row>
    <row r="93" spans="1:4" x14ac:dyDescent="0.2">
      <c r="A93" s="5">
        <v>32</v>
      </c>
      <c r="B93" s="138">
        <f>'Assets-Liab 5-6'!C41</f>
        <v>2095283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32793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32793</v>
      </c>
      <c r="C279" s="2" t="s">
        <v>594</v>
      </c>
      <c r="D279" s="2" t="str">
        <f t="shared" si="3"/>
        <v>Error?</v>
      </c>
    </row>
    <row r="280" spans="1:4" x14ac:dyDescent="0.2">
      <c r="A280" s="5">
        <v>219</v>
      </c>
      <c r="B280" s="138">
        <f>'Assets-Liab 5-6'!M40</f>
        <v>32793</v>
      </c>
      <c r="D280" s="2" t="str">
        <f t="shared" si="3"/>
        <v>Error?</v>
      </c>
    </row>
    <row r="281" spans="1:4" x14ac:dyDescent="0.2">
      <c r="A281" s="5">
        <v>220</v>
      </c>
      <c r="B281" s="138">
        <f>'Assets-Liab 5-6'!M41</f>
        <v>32793</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1185961</v>
      </c>
      <c r="C720" s="2" t="s">
        <v>594</v>
      </c>
      <c r="D720" s="2" t="str">
        <f t="shared" si="10"/>
        <v>Error?</v>
      </c>
    </row>
    <row r="721" spans="1:4" x14ac:dyDescent="0.2">
      <c r="A721" s="5">
        <v>660</v>
      </c>
      <c r="B721" s="138">
        <f>'Expenditures 15-22'!C36</f>
        <v>255136</v>
      </c>
      <c r="D721" s="2" t="str">
        <f t="shared" si="10"/>
        <v>Error?</v>
      </c>
    </row>
    <row r="722" spans="1:4" x14ac:dyDescent="0.2">
      <c r="A722" s="5">
        <v>661</v>
      </c>
      <c r="B722" s="138">
        <f>'Expenditures 15-22'!C37</f>
        <v>21408</v>
      </c>
      <c r="D722" s="2" t="str">
        <f t="shared" si="10"/>
        <v>Error?</v>
      </c>
    </row>
    <row r="723" spans="1:4" x14ac:dyDescent="0.2">
      <c r="A723" s="5">
        <v>662</v>
      </c>
      <c r="B723" s="138">
        <f>'Expenditures 15-22'!C38</f>
        <v>359276</v>
      </c>
      <c r="D723" s="2" t="str">
        <f t="shared" si="10"/>
        <v>Error?</v>
      </c>
    </row>
    <row r="724" spans="1:4" x14ac:dyDescent="0.2">
      <c r="A724" s="5">
        <v>663</v>
      </c>
      <c r="B724" s="138">
        <f>'Expenditures 15-22'!C39</f>
        <v>237536</v>
      </c>
      <c r="D724" s="2" t="str">
        <f t="shared" si="10"/>
        <v>Error?</v>
      </c>
    </row>
    <row r="725" spans="1:4" x14ac:dyDescent="0.2">
      <c r="A725" s="5">
        <v>664</v>
      </c>
      <c r="B725" s="138">
        <f>'Expenditures 15-22'!C40</f>
        <v>384822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1258178</v>
      </c>
      <c r="C727" s="2" t="s">
        <v>594</v>
      </c>
      <c r="D727" s="2" t="str">
        <f t="shared" si="10"/>
        <v>Error?</v>
      </c>
    </row>
    <row r="728" spans="1:4" x14ac:dyDescent="0.2">
      <c r="A728" s="5">
        <v>667</v>
      </c>
      <c r="B728" s="138">
        <f>'Expenditures 15-22'!C44</f>
        <v>9089</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9089</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348209</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1615476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2801437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274442</v>
      </c>
      <c r="C778" s="2" t="s">
        <v>594</v>
      </c>
      <c r="D778" s="2" t="str">
        <f t="shared" si="11"/>
        <v>Error?</v>
      </c>
    </row>
    <row r="779" spans="1:4" x14ac:dyDescent="0.2">
      <c r="A779" s="5">
        <v>718</v>
      </c>
      <c r="B779" s="138">
        <f>'Expenditures 15-22'!D36</f>
        <v>25644</v>
      </c>
      <c r="D779" s="2" t="str">
        <f t="shared" si="11"/>
        <v>Error?</v>
      </c>
    </row>
    <row r="780" spans="1:4" x14ac:dyDescent="0.2">
      <c r="A780" s="5">
        <v>719</v>
      </c>
      <c r="B780" s="138">
        <f>'Expenditures 15-22'!D37</f>
        <v>10157</v>
      </c>
      <c r="D780" s="2" t="str">
        <f t="shared" si="11"/>
        <v>Error?</v>
      </c>
    </row>
    <row r="781" spans="1:4" x14ac:dyDescent="0.2">
      <c r="A781" s="5">
        <v>720</v>
      </c>
      <c r="B781" s="138">
        <f>'Expenditures 15-22'!D38</f>
        <v>82387</v>
      </c>
      <c r="D781" s="2" t="str">
        <f t="shared" si="11"/>
        <v>Error?</v>
      </c>
    </row>
    <row r="782" spans="1:4" x14ac:dyDescent="0.2">
      <c r="A782" s="5">
        <v>721</v>
      </c>
      <c r="B782" s="138">
        <f>'Expenditures 15-22'!D39</f>
        <v>30860</v>
      </c>
      <c r="D782" s="2" t="str">
        <f t="shared" si="11"/>
        <v>Error?</v>
      </c>
    </row>
    <row r="783" spans="1:4" x14ac:dyDescent="0.2">
      <c r="A783" s="5">
        <v>722</v>
      </c>
      <c r="B783" s="138">
        <f>'Expenditures 15-22'!D40</f>
        <v>46696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195744</v>
      </c>
      <c r="C785" s="2" t="s">
        <v>594</v>
      </c>
      <c r="D785" s="2" t="str">
        <f t="shared" si="11"/>
        <v>Error?</v>
      </c>
    </row>
    <row r="786" spans="1:4" x14ac:dyDescent="0.2">
      <c r="A786" s="5">
        <v>725</v>
      </c>
      <c r="B786" s="138">
        <f>'Expenditures 15-22'!D44</f>
        <v>1271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1271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87269</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284284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558726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16197</v>
      </c>
      <c r="C836" s="2" t="s">
        <v>594</v>
      </c>
      <c r="D836" s="2" t="str">
        <f t="shared" si="12"/>
        <v>Error?</v>
      </c>
    </row>
    <row r="837" spans="1:4" x14ac:dyDescent="0.2">
      <c r="A837" s="5">
        <v>776</v>
      </c>
      <c r="B837" s="138">
        <f>'Expenditures 15-22'!E36</f>
        <v>6442</v>
      </c>
      <c r="D837" s="2" t="str">
        <f t="shared" si="12"/>
        <v>Error?</v>
      </c>
    </row>
    <row r="838" spans="1:4" x14ac:dyDescent="0.2">
      <c r="A838" s="5">
        <v>777</v>
      </c>
      <c r="B838" s="138">
        <f>'Expenditures 15-22'!E37</f>
        <v>5112</v>
      </c>
      <c r="D838" s="2" t="str">
        <f t="shared" si="12"/>
        <v>Error?</v>
      </c>
    </row>
    <row r="839" spans="1:4" x14ac:dyDescent="0.2">
      <c r="A839" s="5">
        <v>778</v>
      </c>
      <c r="B839" s="138">
        <f>'Expenditures 15-22'!E38</f>
        <v>16192</v>
      </c>
      <c r="D839" s="2" t="str">
        <f t="shared" si="12"/>
        <v>Error?</v>
      </c>
    </row>
    <row r="840" spans="1:4" x14ac:dyDescent="0.2">
      <c r="A840" s="5">
        <v>779</v>
      </c>
      <c r="B840" s="138">
        <f>'Expenditures 15-22'!E39</f>
        <v>8683</v>
      </c>
      <c r="D840" s="2" t="str">
        <f t="shared" si="12"/>
        <v>Error?</v>
      </c>
    </row>
    <row r="841" spans="1:4" x14ac:dyDescent="0.2">
      <c r="A841" s="5">
        <v>780</v>
      </c>
      <c r="B841" s="138">
        <f>'Expenditures 15-22'!E40</f>
        <v>64992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101421</v>
      </c>
      <c r="C843" s="2" t="s">
        <v>594</v>
      </c>
      <c r="D843" s="2" t="str">
        <f t="shared" si="12"/>
        <v>Error?</v>
      </c>
    </row>
    <row r="844" spans="1:4" x14ac:dyDescent="0.2">
      <c r="A844" s="5">
        <v>783</v>
      </c>
      <c r="B844" s="138">
        <f>'Expenditures 15-22'!E44</f>
        <v>27223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27223</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10009</v>
      </c>
      <c r="D849" s="2" t="str">
        <f t="shared" si="12"/>
        <v>Error?</v>
      </c>
    </row>
    <row r="850" spans="1:4" x14ac:dyDescent="0.2">
      <c r="A850" s="5">
        <v>789</v>
      </c>
      <c r="B850" s="138">
        <f>'Expenditures 15-22'!E53</f>
        <v>160731</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2500</v>
      </c>
      <c r="D855" s="2" t="str">
        <f t="shared" si="12"/>
        <v>Error?</v>
      </c>
    </row>
    <row r="856" spans="1:4" x14ac:dyDescent="0.2">
      <c r="A856" s="5">
        <v>795</v>
      </c>
      <c r="B856" s="138">
        <f>'Expenditures 15-22'!E61</f>
        <v>986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3486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7580</v>
      </c>
      <c r="D867" s="2" t="str">
        <f t="shared" si="12"/>
        <v>Error?</v>
      </c>
    </row>
    <row r="868" spans="1:4" x14ac:dyDescent="0.2">
      <c r="A868" s="10">
        <v>807</v>
      </c>
      <c r="D868" s="2" t="str">
        <f t="shared" si="12"/>
        <v>OK</v>
      </c>
    </row>
    <row r="869" spans="1:4" x14ac:dyDescent="0.2">
      <c r="A869" s="5">
        <v>808</v>
      </c>
      <c r="B869" s="138">
        <f>'Expenditures 15-22'!E72</f>
        <v>7580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300441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316638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35169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1433</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214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1647</v>
      </c>
      <c r="C901" s="2" t="s">
        <v>594</v>
      </c>
      <c r="D901" s="2" t="str">
        <f t="shared" si="13"/>
        <v>Error?</v>
      </c>
    </row>
    <row r="902" spans="1:4" x14ac:dyDescent="0.2">
      <c r="A902" s="5">
        <v>841</v>
      </c>
      <c r="B902" s="138">
        <f>'Expenditures 15-22'!F44</f>
        <v>5589</v>
      </c>
      <c r="D902" s="2" t="str">
        <f t="shared" si="13"/>
        <v>Error?</v>
      </c>
    </row>
    <row r="903" spans="1:4" x14ac:dyDescent="0.2">
      <c r="A903" s="5">
        <v>842</v>
      </c>
      <c r="B903" s="138">
        <f>'Expenditures 15-22'!F45</f>
        <v>0</v>
      </c>
      <c r="D903" s="2" t="str">
        <f t="shared" si="13"/>
        <v>Error?</v>
      </c>
    </row>
    <row r="904" spans="1:4" x14ac:dyDescent="0.2">
      <c r="A904" s="5">
        <v>843</v>
      </c>
      <c r="B904" s="138">
        <f>'Expenditures 15-22'!F46</f>
        <v>24030</v>
      </c>
      <c r="D904" s="2" t="str">
        <f t="shared" si="13"/>
        <v>Error?</v>
      </c>
    </row>
    <row r="905" spans="1:4" x14ac:dyDescent="0.2">
      <c r="A905" s="5">
        <v>844</v>
      </c>
      <c r="B905" s="138">
        <f>'Expenditures 15-22'!F47</f>
        <v>29619</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4450</v>
      </c>
      <c r="D907" s="2" t="str">
        <f t="shared" si="13"/>
        <v>Error?</v>
      </c>
    </row>
    <row r="908" spans="1:4" x14ac:dyDescent="0.2">
      <c r="A908" s="5">
        <v>847</v>
      </c>
      <c r="B908" s="138">
        <f>'Expenditures 15-22'!F53</f>
        <v>12406</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5528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21679</v>
      </c>
      <c r="D917" s="2" t="str">
        <f t="shared" si="13"/>
        <v>Error?</v>
      </c>
    </row>
    <row r="918" spans="1:4" x14ac:dyDescent="0.2">
      <c r="A918" s="10">
        <v>857</v>
      </c>
      <c r="D918" s="2" t="str">
        <f t="shared" si="13"/>
        <v>OK</v>
      </c>
    </row>
    <row r="919" spans="1:4" x14ac:dyDescent="0.2">
      <c r="A919" s="5">
        <v>858</v>
      </c>
      <c r="B919" s="138">
        <f>'Expenditures 15-22'!F65</f>
        <v>27207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70879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106048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39630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4942</v>
      </c>
      <c r="D965" s="2" t="str">
        <f t="shared" si="14"/>
        <v>Error?</v>
      </c>
    </row>
    <row r="966" spans="1:4" x14ac:dyDescent="0.2">
      <c r="A966" s="5">
        <v>905</v>
      </c>
      <c r="B966" s="138">
        <f>'Expenditures 15-22'!G53</f>
        <v>4942</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4942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44572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14137</v>
      </c>
      <c r="D1023" s="2" t="str">
        <f t="shared" ref="D1023:D1086" si="15">IF(ISBLANK(B1023),"OK",IF(A1023-B1023=0,"OK","Error?"))</f>
        <v>Error?</v>
      </c>
    </row>
    <row r="1024" spans="1:4" x14ac:dyDescent="0.2">
      <c r="A1024" s="5">
        <v>963</v>
      </c>
      <c r="B1024" s="138">
        <f>'Expenditures 15-22'!H53</f>
        <v>16067</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16067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16067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1551399</v>
      </c>
      <c r="C1108" s="2" t="s">
        <v>594</v>
      </c>
      <c r="D1108" s="2" t="str">
        <f t="shared" si="16"/>
        <v>Error?</v>
      </c>
    </row>
    <row r="1109" spans="1:4" x14ac:dyDescent="0.2">
      <c r="A1109" s="5">
        <v>1048</v>
      </c>
      <c r="B1109" s="138">
        <f>'Expenditures 15-22'!K36</f>
        <v>287222</v>
      </c>
      <c r="C1109" s="2" t="s">
        <v>594</v>
      </c>
      <c r="D1109" s="2" t="str">
        <f t="shared" si="16"/>
        <v>Error?</v>
      </c>
    </row>
    <row r="1110" spans="1:4" x14ac:dyDescent="0.2">
      <c r="A1110" s="5">
        <v>1049</v>
      </c>
      <c r="B1110" s="138">
        <f>'Expenditures 15-22'!K37</f>
        <v>38503</v>
      </c>
      <c r="C1110" s="2" t="s">
        <v>594</v>
      </c>
      <c r="D1110" s="2" t="str">
        <f t="shared" si="16"/>
        <v>Error?</v>
      </c>
    </row>
    <row r="1111" spans="1:4" x14ac:dyDescent="0.2">
      <c r="A1111" s="5">
        <v>1050</v>
      </c>
      <c r="B1111" s="138">
        <f>'Expenditures 15-22'!K38</f>
        <v>457855</v>
      </c>
      <c r="C1111" s="2" t="s">
        <v>594</v>
      </c>
      <c r="D1111" s="2" t="str">
        <f t="shared" si="16"/>
        <v>Error?</v>
      </c>
    </row>
    <row r="1112" spans="1:4" x14ac:dyDescent="0.2">
      <c r="A1112" s="5">
        <v>1051</v>
      </c>
      <c r="B1112" s="138">
        <f>'Expenditures 15-22'!K39</f>
        <v>277079</v>
      </c>
      <c r="C1112" s="2" t="s">
        <v>594</v>
      </c>
      <c r="D1112" s="2" t="str">
        <f t="shared" si="16"/>
        <v>Error?</v>
      </c>
    </row>
    <row r="1113" spans="1:4" x14ac:dyDescent="0.2">
      <c r="A1113" s="5">
        <v>1052</v>
      </c>
      <c r="B1113" s="138">
        <f>'Expenditures 15-22'!K40</f>
        <v>496724</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1557383</v>
      </c>
      <c r="C1115" s="2" t="s">
        <v>594</v>
      </c>
      <c r="D1115" s="2" t="str">
        <f t="shared" si="16"/>
        <v>Error?</v>
      </c>
    </row>
    <row r="1116" spans="1:4" x14ac:dyDescent="0.2">
      <c r="A1116" s="5">
        <v>1055</v>
      </c>
      <c r="B1116" s="138">
        <f>'Expenditures 15-22'!K44</f>
        <v>43172</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24030</v>
      </c>
      <c r="C1118" s="2" t="s">
        <v>594</v>
      </c>
      <c r="D1118" s="2" t="str">
        <f t="shared" si="16"/>
        <v>Error?</v>
      </c>
    </row>
    <row r="1119" spans="1:4" x14ac:dyDescent="0.2">
      <c r="A1119" s="5">
        <v>1058</v>
      </c>
      <c r="B1119" s="138">
        <f>'Expenditures 15-22'!K47</f>
        <v>67202</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47997</v>
      </c>
      <c r="C1121" s="2" t="s">
        <v>594</v>
      </c>
      <c r="D1121" s="2" t="str">
        <f t="shared" si="16"/>
        <v>Error?</v>
      </c>
    </row>
    <row r="1122" spans="1:4" x14ac:dyDescent="0.2">
      <c r="A1122" s="5">
        <v>1061</v>
      </c>
      <c r="B1122" s="138">
        <f>'Expenditures 15-22'!K53</f>
        <v>644083</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2500</v>
      </c>
      <c r="C1127" s="2" t="s">
        <v>594</v>
      </c>
      <c r="D1127" s="2" t="str">
        <f t="shared" si="16"/>
        <v>Error?</v>
      </c>
    </row>
    <row r="1128" spans="1:4" x14ac:dyDescent="0.2">
      <c r="A1128" s="5">
        <v>1067</v>
      </c>
      <c r="B1128" s="138">
        <f>'Expenditures 15-22'!K61</f>
        <v>6514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21679</v>
      </c>
      <c r="C1131" s="2" t="s">
        <v>594</v>
      </c>
      <c r="D1131" s="2" t="str">
        <f t="shared" si="16"/>
        <v>Error?</v>
      </c>
    </row>
    <row r="1132" spans="1:4" x14ac:dyDescent="0.2">
      <c r="A1132" s="10">
        <v>1071</v>
      </c>
      <c r="D1132" s="2" t="str">
        <f t="shared" si="16"/>
        <v>OK</v>
      </c>
    </row>
    <row r="1133" spans="1:4" x14ac:dyDescent="0.2">
      <c r="A1133" s="5">
        <v>1072</v>
      </c>
      <c r="B1133" s="138">
        <f>'Expenditures 15-22'!K65</f>
        <v>30693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7580</v>
      </c>
      <c r="C1139" s="2" t="s">
        <v>594</v>
      </c>
      <c r="D1139" s="2" t="str">
        <f t="shared" si="16"/>
        <v>Error?</v>
      </c>
    </row>
    <row r="1140" spans="1:4" x14ac:dyDescent="0.2">
      <c r="A1140" s="10">
        <v>1079</v>
      </c>
      <c r="D1140" s="2" t="str">
        <f t="shared" si="16"/>
        <v>OK</v>
      </c>
    </row>
    <row r="1141" spans="1:4" x14ac:dyDescent="0.2">
      <c r="A1141" s="5">
        <v>1080</v>
      </c>
      <c r="B1141" s="138">
        <f>'Expenditures 15-22'!K72</f>
        <v>7580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2306941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3858340</v>
      </c>
      <c r="C1152" s="2" t="s">
        <v>594</v>
      </c>
      <c r="D1152" s="2" t="str">
        <f t="shared" si="17"/>
        <v>Error?</v>
      </c>
    </row>
    <row r="1153" spans="1:4" x14ac:dyDescent="0.2">
      <c r="A1153" s="5">
        <v>1092</v>
      </c>
      <c r="B1153" s="138">
        <f>'Expenditures 15-22'!K115</f>
        <v>718537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718537</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13193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44572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13193</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44572</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1319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11779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1319</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11779</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11874</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32793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214325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2613211</v>
      </c>
      <c r="C2551" s="2" t="s">
        <v>594</v>
      </c>
      <c r="D2551" s="2" t="str">
        <f t="shared" si="38"/>
        <v>Error?</v>
      </c>
    </row>
    <row r="2552" spans="1:4" x14ac:dyDescent="0.2">
      <c r="A2552" s="10">
        <v>2491</v>
      </c>
      <c r="D2552" s="2" t="str">
        <f t="shared" si="38"/>
        <v>OK</v>
      </c>
    </row>
    <row r="2553" spans="1:4" x14ac:dyDescent="0.2">
      <c r="A2553" s="5">
        <v>2492</v>
      </c>
      <c r="B2553" s="138">
        <f>'Acct Summary 7-8'!C6</f>
        <v>521559</v>
      </c>
      <c r="C2553" s="2" t="s">
        <v>594</v>
      </c>
      <c r="D2553" s="2" t="str">
        <f t="shared" si="38"/>
        <v>Error?</v>
      </c>
    </row>
    <row r="2554" spans="1:4" x14ac:dyDescent="0.2">
      <c r="A2554" s="5">
        <v>2493</v>
      </c>
      <c r="B2554" s="138">
        <f>'Acct Summary 7-8'!C7</f>
        <v>1442107</v>
      </c>
      <c r="C2554" s="2" t="s">
        <v>594</v>
      </c>
      <c r="D2554" s="2" t="str">
        <f t="shared" si="38"/>
        <v>Error?</v>
      </c>
    </row>
    <row r="2555" spans="1:4" x14ac:dyDescent="0.2">
      <c r="A2555" s="5">
        <v>2494</v>
      </c>
      <c r="B2555" s="138">
        <f>'Acct Summary 7-8'!C8</f>
        <v>4576877</v>
      </c>
      <c r="C2555" s="2" t="s">
        <v>594</v>
      </c>
      <c r="D2555" s="2" t="str">
        <f t="shared" si="38"/>
        <v>Error?</v>
      </c>
    </row>
    <row r="2556" spans="1:4" x14ac:dyDescent="0.2">
      <c r="A2556" s="5">
        <v>2495</v>
      </c>
      <c r="B2556" s="138">
        <f>'Acct Summary 7-8'!C12</f>
        <v>1551399</v>
      </c>
      <c r="C2556" s="2" t="s">
        <v>594</v>
      </c>
      <c r="D2556" s="2" t="str">
        <f t="shared" si="38"/>
        <v>Error?</v>
      </c>
    </row>
    <row r="2557" spans="1:4" x14ac:dyDescent="0.2">
      <c r="A2557" s="5">
        <v>2496</v>
      </c>
      <c r="B2557" s="138">
        <f>'Acct Summary 7-8'!C13</f>
        <v>2306941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3858340</v>
      </c>
      <c r="C2561" s="2" t="s">
        <v>594</v>
      </c>
      <c r="D2561" s="2" t="str">
        <f t="shared" si="39"/>
        <v>Error?</v>
      </c>
    </row>
    <row r="2562" spans="1:4" x14ac:dyDescent="0.2">
      <c r="A2562" s="5">
        <v>2501</v>
      </c>
      <c r="B2562" s="138">
        <f>'Acct Summary 7-8'!C20</f>
        <v>718537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348209</v>
      </c>
      <c r="D2718" s="2" t="str">
        <f t="shared" si="41"/>
        <v>Error?</v>
      </c>
    </row>
    <row r="2719" spans="1:4" x14ac:dyDescent="0.2">
      <c r="A2719" s="5">
        <v>2658</v>
      </c>
      <c r="B2719" s="138">
        <f>'Expenditures 15-22'!D51</f>
        <v>87269</v>
      </c>
      <c r="D2719" s="2" t="str">
        <f t="shared" si="41"/>
        <v>Error?</v>
      </c>
    </row>
    <row r="2720" spans="1:4" x14ac:dyDescent="0.2">
      <c r="A2720" s="5">
        <v>2659</v>
      </c>
      <c r="B2720" s="138">
        <f>'Expenditures 15-22'!E51</f>
        <v>22988</v>
      </c>
      <c r="D2720" s="2" t="str">
        <f t="shared" si="41"/>
        <v>Error?</v>
      </c>
    </row>
    <row r="2721" spans="1:4" x14ac:dyDescent="0.2">
      <c r="A2721" s="5">
        <v>2660</v>
      </c>
      <c r="B2721" s="138">
        <f>'Expenditures 15-22'!F51</f>
        <v>7956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1930</v>
      </c>
      <c r="D2723" s="2" t="str">
        <f t="shared" si="41"/>
        <v>Error?</v>
      </c>
    </row>
    <row r="2724" spans="1:4" x14ac:dyDescent="0.2">
      <c r="A2724" s="5">
        <v>2663</v>
      </c>
      <c r="B2724" s="138">
        <f>'Expenditures 15-22'!K51</f>
        <v>468352</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718537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1185961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274442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16197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35169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39630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1551399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1626710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21840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4598717</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21840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3880180</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718537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40566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57916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287192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53091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2314862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2314862</v>
      </c>
      <c r="C5087" s="2" t="s">
        <v>594</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11157</v>
      </c>
      <c r="D5119" s="2" t="str">
        <f t="shared" ref="D5119:D5182" si="79">IF(ISBLANK(B5119),"OK",IF(A5119-B5119=0,"OK","Error?"))</f>
        <v>Error?</v>
      </c>
    </row>
    <row r="5120" spans="1:4" x14ac:dyDescent="0.2">
      <c r="A5120" s="5">
        <v>5059</v>
      </c>
      <c r="B5120" s="138">
        <f>'Revenues 9-14'!C108</f>
        <v>298349</v>
      </c>
      <c r="C5120" s="2" t="s">
        <v>594</v>
      </c>
      <c r="D5120" s="2" t="str">
        <f t="shared" si="79"/>
        <v>Error?</v>
      </c>
    </row>
    <row r="5121" spans="1:4" x14ac:dyDescent="0.2">
      <c r="A5121" s="5">
        <v>5060</v>
      </c>
      <c r="B5121" s="138">
        <f>'Revenues 9-14'!C109</f>
        <v>2613211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468468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468468</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53091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521559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18778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1324847</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1343625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1442107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1442107</v>
      </c>
      <c r="C5326" s="2" t="s">
        <v>594</v>
      </c>
      <c r="D5326" s="2" t="str">
        <f t="shared" si="82"/>
        <v>Error?</v>
      </c>
    </row>
    <row r="5327" spans="1:4" x14ac:dyDescent="0.2">
      <c r="A5327" s="5">
        <v>5266</v>
      </c>
      <c r="B5327" s="138">
        <f>'Revenues 9-14'!C275</f>
        <v>4576877</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468573</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4386</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338818</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718537</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1</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393</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393</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14459</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127734</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127734</v>
      </c>
      <c r="D6940" s="2" t="str">
        <f t="shared" si="107"/>
        <v>Error?</v>
      </c>
    </row>
    <row r="6941" spans="1:4" x14ac:dyDescent="0.2">
      <c r="A6941">
        <v>6880</v>
      </c>
      <c r="B6941" s="138">
        <f>'Expenditures 15-22'!L52</f>
        <v>247228</v>
      </c>
      <c r="D6941" s="2" t="str">
        <f t="shared" si="107"/>
        <v>Error?</v>
      </c>
    </row>
    <row r="6942" spans="1:4" x14ac:dyDescent="0.2">
      <c r="A6942">
        <v>6881</v>
      </c>
      <c r="B6942" s="138">
        <f>'Expenditures 15-22'!I53</f>
        <v>14459</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14852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14852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31379</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31379</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10460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10460</v>
      </c>
      <c r="D7622" s="2" t="str">
        <f t="shared" si="124"/>
        <v>Error?</v>
      </c>
      <c r="E7622" s="2" t="s">
        <v>19</v>
      </c>
    </row>
    <row r="7623" spans="1:5" x14ac:dyDescent="0.2">
      <c r="A7623">
        <f t="shared" si="123"/>
        <v>7562</v>
      </c>
      <c r="B7623" s="138">
        <f>'Cap Outlay Deprec 26'!L14</f>
        <v>20919</v>
      </c>
      <c r="D7623" s="2" t="str">
        <f t="shared" si="124"/>
        <v>Error?</v>
      </c>
      <c r="E7623" s="2" t="s">
        <v>19</v>
      </c>
    </row>
    <row r="7624" spans="1:5" x14ac:dyDescent="0.2">
      <c r="A7624">
        <f t="shared" si="123"/>
        <v>7563</v>
      </c>
      <c r="B7624" s="138">
        <f>'Cap Outlay Deprec 26'!F17</f>
        <v>14852</v>
      </c>
      <c r="D7624" s="2" t="str">
        <f t="shared" si="124"/>
        <v>Error?</v>
      </c>
      <c r="E7624" s="2" t="s">
        <v>19</v>
      </c>
    </row>
    <row r="7625" spans="1:5" x14ac:dyDescent="0.2">
      <c r="A7625">
        <f t="shared" si="123"/>
        <v>7564</v>
      </c>
      <c r="B7625" s="138">
        <f>'Cap Outlay Deprec 26'!I17</f>
        <v>1485.2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13264.2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0</v>
      </c>
      <c r="D7797" s="2" t="str">
        <f t="shared" si="127"/>
        <v>Error?</v>
      </c>
      <c r="E7797" s="4" t="s">
        <v>2015</v>
      </c>
    </row>
    <row r="7798" spans="1:5" x14ac:dyDescent="0.2">
      <c r="A7798">
        <v>7737</v>
      </c>
      <c r="B7798" s="138">
        <f>'Contracts Paid in CY 29'!F141</f>
        <v>0</v>
      </c>
      <c r="D7798" s="2" t="str">
        <f t="shared" si="127"/>
        <v>Error?</v>
      </c>
      <c r="E7798" s="4" t="s">
        <v>2015</v>
      </c>
    </row>
    <row r="7799" spans="1:5" x14ac:dyDescent="0.2">
      <c r="A7799">
        <v>7738</v>
      </c>
      <c r="B7799" s="138">
        <f>'Contracts Paid in CY 29'!G141</f>
        <v>0</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1" t="s">
        <v>1253</v>
      </c>
      <c r="B2" s="2431"/>
      <c r="C2" s="2431"/>
      <c r="D2" s="2431"/>
      <c r="E2" s="2431"/>
      <c r="F2" s="2431"/>
      <c r="G2" s="2431"/>
      <c r="H2" s="2431"/>
      <c r="I2" s="2431"/>
      <c r="J2" s="2431"/>
      <c r="K2" s="2431"/>
      <c r="L2" s="2431"/>
    </row>
    <row r="3" spans="1:29" ht="13.5" customHeight="1" x14ac:dyDescent="0.2">
      <c r="A3" s="2417" t="s">
        <v>1252</v>
      </c>
      <c r="B3" s="2417"/>
      <c r="C3" s="2417"/>
      <c r="D3" s="2417"/>
      <c r="E3" s="2417"/>
      <c r="F3" s="2417"/>
      <c r="G3" s="2417"/>
      <c r="H3" s="2417"/>
      <c r="I3" s="2417"/>
      <c r="J3" s="2417"/>
      <c r="K3" s="2417"/>
      <c r="L3" s="2417"/>
    </row>
    <row r="4" spans="1:29" ht="13.5" customHeight="1" x14ac:dyDescent="0.2">
      <c r="A4" s="2431" t="s">
        <v>1798</v>
      </c>
      <c r="B4" s="2448"/>
      <c r="C4" s="2448"/>
      <c r="D4" s="2448"/>
      <c r="E4" s="2448"/>
      <c r="F4" s="2448"/>
      <c r="G4" s="2448"/>
      <c r="H4" s="2448"/>
      <c r="I4" s="2448"/>
      <c r="J4" s="2448"/>
      <c r="K4" s="2448"/>
      <c r="L4" s="244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1" t="str">
        <f>COVER!A17</f>
        <v>Knox Warren SpEd District</v>
      </c>
      <c r="B7" s="2412"/>
      <c r="C7" s="2412"/>
      <c r="D7" s="2449"/>
      <c r="E7" s="2450">
        <f>COVER!A13</f>
        <v>33048801060</v>
      </c>
      <c r="F7" s="2451"/>
      <c r="G7" s="2418" t="str">
        <f>COVER!T23</f>
        <v>066-004769</v>
      </c>
      <c r="H7" s="2419"/>
      <c r="I7" s="2419"/>
      <c r="J7" s="2419"/>
      <c r="K7" s="2419"/>
      <c r="L7" s="242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1"/>
      <c r="B9" s="2422"/>
      <c r="C9" s="2422"/>
      <c r="D9" s="2422"/>
      <c r="E9" s="2422"/>
      <c r="F9" s="2423"/>
      <c r="G9" s="2424" t="str">
        <f>COVER!T13</f>
        <v>Meister, Hilton, Chitwood &amp; Associates,  Inc.</v>
      </c>
      <c r="H9" s="2425"/>
      <c r="I9" s="2425"/>
      <c r="J9" s="2425"/>
      <c r="K9" s="2425"/>
      <c r="L9" s="2426"/>
    </row>
    <row r="10" spans="1:29" ht="13.5" customHeight="1" x14ac:dyDescent="0.2">
      <c r="A10" s="2408" t="str">
        <f>COVER!A38</f>
        <v>Kim Deschamps</v>
      </c>
      <c r="B10" s="2409"/>
      <c r="C10" s="2409"/>
      <c r="D10" s="2409"/>
      <c r="E10" s="2409"/>
      <c r="F10" s="2410"/>
      <c r="G10" s="2424" t="str">
        <f>COVER!T17</f>
        <v>809 W. Detweiller Drive, Suite 804</v>
      </c>
      <c r="H10" s="2437"/>
      <c r="I10" s="2437"/>
      <c r="J10" s="2437"/>
      <c r="K10" s="2437"/>
      <c r="L10" s="2438"/>
    </row>
    <row r="11" spans="1:29" ht="13.5" customHeight="1" x14ac:dyDescent="0.2">
      <c r="A11" s="1185" t="s">
        <v>1599</v>
      </c>
      <c r="B11" s="1186"/>
      <c r="C11" s="1187"/>
      <c r="D11" s="1192"/>
      <c r="E11" s="1187"/>
      <c r="F11" s="1191"/>
      <c r="G11" s="2424" t="str">
        <f>COVER!T19</f>
        <v>Peoria</v>
      </c>
      <c r="H11" s="2437"/>
      <c r="I11" s="2437"/>
      <c r="J11" s="2437"/>
      <c r="K11" s="2437"/>
      <c r="L11" s="2438"/>
    </row>
    <row r="12" spans="1:29" ht="13.5" customHeight="1" x14ac:dyDescent="0.2">
      <c r="A12" s="2442" t="s">
        <v>1598</v>
      </c>
      <c r="B12" s="2443"/>
      <c r="C12" s="2443"/>
      <c r="D12" s="2443"/>
      <c r="E12" s="2443"/>
      <c r="F12" s="2444"/>
      <c r="G12" s="2439"/>
      <c r="H12" s="2440"/>
      <c r="I12" s="2440"/>
      <c r="J12" s="2440"/>
      <c r="K12" s="2440"/>
      <c r="L12" s="2441"/>
    </row>
    <row r="13" spans="1:29" ht="13.5" customHeight="1" x14ac:dyDescent="0.2">
      <c r="A13" s="2424"/>
      <c r="B13" s="2437"/>
      <c r="C13" s="2437"/>
      <c r="D13" s="2437"/>
      <c r="E13" s="2437"/>
      <c r="F13" s="2438"/>
      <c r="G13" s="2432" t="s">
        <v>1600</v>
      </c>
      <c r="H13" s="2433"/>
      <c r="I13" s="2445" t="str">
        <f>COVER!T25</f>
        <v>ron.hilton1@comcast.net</v>
      </c>
      <c r="J13" s="2446"/>
      <c r="K13" s="2446"/>
      <c r="L13" s="2447"/>
    </row>
    <row r="14" spans="1:29" ht="13.5" customHeight="1" x14ac:dyDescent="0.2">
      <c r="A14" s="2424" t="str">
        <f>COVER!A19</f>
        <v>311 East Main Street, Suite 632</v>
      </c>
      <c r="B14" s="2437"/>
      <c r="C14" s="2437"/>
      <c r="D14" s="2437"/>
      <c r="E14" s="2437"/>
      <c r="F14" s="2438"/>
      <c r="G14" s="1196" t="s">
        <v>1247</v>
      </c>
      <c r="H14" s="1194"/>
      <c r="I14" s="1194"/>
      <c r="J14" s="1194"/>
      <c r="K14" s="1194"/>
      <c r="L14" s="1195"/>
    </row>
    <row r="15" spans="1:29" ht="13.5" customHeight="1" x14ac:dyDescent="0.2">
      <c r="A15" s="2424" t="str">
        <f>COVER!A21</f>
        <v>Galesburg</v>
      </c>
      <c r="B15" s="2437"/>
      <c r="C15" s="2437"/>
      <c r="D15" s="2437"/>
      <c r="E15" s="2437"/>
      <c r="F15" s="2438"/>
      <c r="G15" s="2434" t="str">
        <f>COVER!T15</f>
        <v>Ron Hilton</v>
      </c>
      <c r="H15" s="2435"/>
      <c r="I15" s="2435"/>
      <c r="J15" s="2435"/>
      <c r="K15" s="2435"/>
      <c r="L15" s="2436"/>
    </row>
    <row r="16" spans="1:29" ht="12.2" customHeight="1" x14ac:dyDescent="0.2">
      <c r="A16" s="2414">
        <f>COVER!A25</f>
        <v>61401</v>
      </c>
      <c r="B16" s="2415"/>
      <c r="C16" s="2415"/>
      <c r="D16" s="2415"/>
      <c r="E16" s="2415"/>
      <c r="F16" s="2416"/>
      <c r="G16" s="2427"/>
      <c r="H16" s="2428"/>
      <c r="I16" s="2428"/>
      <c r="J16" s="2428"/>
      <c r="K16" s="2428"/>
      <c r="L16" s="2429"/>
    </row>
    <row r="17" spans="1:13" ht="12.2" customHeight="1" x14ac:dyDescent="0.2">
      <c r="A17" s="2430"/>
      <c r="B17" s="2415"/>
      <c r="C17" s="2415"/>
      <c r="D17" s="2415"/>
      <c r="E17" s="2415"/>
      <c r="F17" s="2416"/>
      <c r="G17" s="1196" t="s">
        <v>1246</v>
      </c>
      <c r="H17" s="1194"/>
      <c r="I17" s="1194"/>
      <c r="J17" s="1194"/>
      <c r="K17" s="1198" t="s">
        <v>1245</v>
      </c>
      <c r="L17" s="1191"/>
      <c r="M17" s="1184"/>
    </row>
    <row r="18" spans="1:13" ht="12.2" customHeight="1" x14ac:dyDescent="0.2">
      <c r="A18" s="2408"/>
      <c r="B18" s="2409"/>
      <c r="C18" s="2409"/>
      <c r="D18" s="2409"/>
      <c r="E18" s="2409"/>
      <c r="F18" s="2410"/>
      <c r="G18" s="2411" t="str">
        <f>COVER!T21</f>
        <v>(309) 683-0441</v>
      </c>
      <c r="H18" s="2412"/>
      <c r="I18" s="2412"/>
      <c r="J18" s="2412"/>
      <c r="K18" s="2411" t="str">
        <f>COVER!X21</f>
        <v>(309) 692-0492</v>
      </c>
      <c r="L18" s="241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1799</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35&amp;R&amp;8Page 35</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85"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2" t="str">
        <f>'Single Audit Cover'!A7</f>
        <v>Knox Warren SpEd District</v>
      </c>
      <c r="B1" s="2448"/>
      <c r="C1" s="2448"/>
      <c r="D1" s="2448"/>
    </row>
    <row r="2" spans="1:11" s="1215" customFormat="1" ht="12.75" x14ac:dyDescent="0.2">
      <c r="A2" s="2453">
        <f>'Single Audit Cover'!E7</f>
        <v>33048801060</v>
      </c>
      <c r="B2" s="2454"/>
      <c r="C2" s="2454"/>
      <c r="D2" s="2454"/>
    </row>
    <row r="3" spans="1:11" s="1215" customFormat="1" ht="12.75" x14ac:dyDescent="0.2">
      <c r="A3" s="2452" t="s">
        <v>1593</v>
      </c>
      <c r="B3" s="2448"/>
      <c r="C3" s="2448"/>
      <c r="D3" s="244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1813</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1814</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1815</v>
      </c>
    </row>
    <row r="70" spans="1:4" x14ac:dyDescent="0.2">
      <c r="A70" s="1222"/>
      <c r="D70" s="1246" t="s">
        <v>1268</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6" t="str">
        <f>'Single Audit Cover'!A7</f>
        <v>Knox Warren SpEd District</v>
      </c>
      <c r="B1" s="2456"/>
      <c r="C1" s="2456"/>
      <c r="D1" s="2456"/>
      <c r="E1" s="2456"/>
    </row>
    <row r="2" spans="1:5" x14ac:dyDescent="0.2">
      <c r="A2" s="2457">
        <f>'Single Audit Cover'!E7</f>
        <v>33048801060</v>
      </c>
      <c r="B2" s="2457"/>
      <c r="C2" s="2457"/>
      <c r="D2" s="2457"/>
      <c r="E2" s="2457"/>
    </row>
    <row r="3" spans="1:5" ht="4.5" customHeight="1" x14ac:dyDescent="0.2"/>
    <row r="4" spans="1:5" x14ac:dyDescent="0.2">
      <c r="A4" s="2456" t="s">
        <v>1307</v>
      </c>
      <c r="B4" s="2456"/>
      <c r="C4" s="2456"/>
      <c r="D4" s="2456"/>
      <c r="E4" s="2456"/>
    </row>
    <row r="5" spans="1:5" x14ac:dyDescent="0.2">
      <c r="A5" s="2459" t="str">
        <f>'Single Audit Cover'!A4</f>
        <v>Year Ending June 30, 2018</v>
      </c>
      <c r="B5" s="2459"/>
      <c r="C5" s="2459"/>
      <c r="D5" s="2459"/>
      <c r="E5" s="2459"/>
    </row>
    <row r="6" spans="1:5" x14ac:dyDescent="0.2">
      <c r="A6" s="2456" t="s">
        <v>1306</v>
      </c>
      <c r="B6" s="2456"/>
      <c r="C6" s="2456"/>
      <c r="D6" s="2456"/>
      <c r="E6" s="2456"/>
    </row>
    <row r="8" spans="1:5" x14ac:dyDescent="0.2">
      <c r="A8" s="1260" t="s">
        <v>1305</v>
      </c>
    </row>
    <row r="10" spans="1:5" x14ac:dyDescent="0.2">
      <c r="A10" s="1261" t="s">
        <v>1304</v>
      </c>
      <c r="B10" s="1262" t="s">
        <v>1303</v>
      </c>
      <c r="C10" s="1262"/>
      <c r="D10" s="1263">
        <f>SUM('Acct Summary 7-8'!C7:K7)</f>
        <v>1442107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1829</v>
      </c>
      <c r="B14" s="1262"/>
      <c r="C14" s="1262"/>
      <c r="D14" s="1264">
        <f>'ICR Computation 30'!E11</f>
        <v>0</v>
      </c>
    </row>
    <row r="15" spans="1:5" x14ac:dyDescent="0.2">
      <c r="A15" s="1261"/>
      <c r="B15" s="1262"/>
      <c r="C15" s="1262"/>
    </row>
    <row r="16" spans="1:5" x14ac:dyDescent="0.2">
      <c r="A16" s="1261" t="s">
        <v>1951</v>
      </c>
      <c r="B16" s="1262"/>
      <c r="C16" s="1262"/>
    </row>
    <row r="17" spans="1:4" x14ac:dyDescent="0.2">
      <c r="A17" s="1261" t="s">
        <v>1601</v>
      </c>
      <c r="B17" s="1262" t="s">
        <v>1298</v>
      </c>
      <c r="C17" s="1262"/>
      <c r="D17" s="1264">
        <f>-SUM('Revenues 9-14'!C271:D271,'Revenues 9-14'!F271:G271)</f>
        <v>-57916</v>
      </c>
    </row>
    <row r="19" spans="1:4" ht="13.5" thickBot="1" x14ac:dyDescent="0.25">
      <c r="A19" s="1265" t="s">
        <v>1297</v>
      </c>
      <c r="D19" s="1266">
        <f>SUM(D10:D17)</f>
        <v>1384191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8"/>
      <c r="B24" s="2458"/>
      <c r="D24" s="1268"/>
    </row>
    <row r="25" spans="1:4" x14ac:dyDescent="0.2">
      <c r="A25" s="2455"/>
      <c r="B25" s="2455"/>
      <c r="D25" s="1268"/>
    </row>
    <row r="26" spans="1:4" x14ac:dyDescent="0.2">
      <c r="A26" s="2455"/>
      <c r="B26" s="2455"/>
      <c r="D26" s="1268"/>
    </row>
    <row r="27" spans="1:4" x14ac:dyDescent="0.2">
      <c r="A27" s="2455"/>
      <c r="B27" s="2455"/>
      <c r="D27" s="1268"/>
    </row>
    <row r="28" spans="1:4" x14ac:dyDescent="0.2">
      <c r="A28" s="2455"/>
      <c r="B28" s="2455"/>
      <c r="D28" s="1268"/>
    </row>
    <row r="29" spans="1:4" x14ac:dyDescent="0.2">
      <c r="A29" s="2455"/>
      <c r="B29" s="2455"/>
      <c r="D29" s="1268"/>
    </row>
    <row r="30" spans="1:4" x14ac:dyDescent="0.2">
      <c r="A30" s="2455"/>
      <c r="B30" s="2455"/>
      <c r="D30" s="1268"/>
    </row>
    <row r="32" spans="1:4" x14ac:dyDescent="0.2">
      <c r="A32" s="1260" t="s">
        <v>1295</v>
      </c>
      <c r="D32" s="1263">
        <f>SUM(D19:D30)</f>
        <v>1384191</v>
      </c>
    </row>
    <row r="33" spans="1:4" x14ac:dyDescent="0.2">
      <c r="D33" s="1269"/>
    </row>
    <row r="34" spans="1:4" x14ac:dyDescent="0.2">
      <c r="A34" s="317" t="s">
        <v>1294</v>
      </c>
    </row>
    <row r="35" spans="1:4" x14ac:dyDescent="0.2">
      <c r="A35" s="317" t="s">
        <v>1293</v>
      </c>
      <c r="B35" s="1258" t="s">
        <v>1292</v>
      </c>
      <c r="D35" s="1270">
        <v>1384191</v>
      </c>
    </row>
    <row r="37" spans="1:4" x14ac:dyDescent="0.2">
      <c r="A37" s="1260" t="s">
        <v>1291</v>
      </c>
    </row>
    <row r="39" spans="1:4" ht="13.35" customHeight="1" x14ac:dyDescent="0.2">
      <c r="A39" s="1267" t="s">
        <v>1290</v>
      </c>
    </row>
    <row r="40" spans="1:4" x14ac:dyDescent="0.2">
      <c r="A40" s="2455"/>
      <c r="B40" s="2455"/>
      <c r="D40" s="1268"/>
    </row>
    <row r="41" spans="1:4" x14ac:dyDescent="0.2">
      <c r="A41" s="2455"/>
      <c r="B41" s="2455"/>
      <c r="D41" s="1271"/>
    </row>
    <row r="42" spans="1:4" x14ac:dyDescent="0.2">
      <c r="A42" s="2455"/>
      <c r="B42" s="2455"/>
      <c r="D42" s="1271"/>
    </row>
    <row r="43" spans="1:4" x14ac:dyDescent="0.2">
      <c r="A43" s="2455"/>
      <c r="B43" s="2455"/>
      <c r="D43" s="1271"/>
    </row>
    <row r="44" spans="1:4" x14ac:dyDescent="0.2">
      <c r="A44" s="2455"/>
      <c r="B44" s="2455"/>
      <c r="D44" s="1271"/>
    </row>
    <row r="45" spans="1:4" x14ac:dyDescent="0.2">
      <c r="A45" s="2455"/>
      <c r="B45" s="2455"/>
      <c r="D45" s="1271"/>
    </row>
    <row r="47" spans="1:4" x14ac:dyDescent="0.2">
      <c r="B47" s="1272" t="s">
        <v>1289</v>
      </c>
      <c r="C47" s="1272"/>
      <c r="D47" s="1273">
        <f>SUM(D35:D45)</f>
        <v>1384191</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41&amp;R&amp;8Page 41</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22" zoomScaleNormal="100" workbookViewId="0">
      <selection activeCell="L26" sqref="L2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7" t="str">
        <f>'Single Audit Cover'!A7</f>
        <v>Knox Warren SpEd District</v>
      </c>
      <c r="C1" s="2460"/>
      <c r="D1" s="2460"/>
      <c r="E1" s="2460"/>
      <c r="F1" s="2460"/>
      <c r="G1" s="2460"/>
      <c r="H1" s="2460"/>
      <c r="I1" s="2460"/>
      <c r="J1" s="2460"/>
      <c r="K1" s="2460"/>
      <c r="L1" s="2460"/>
      <c r="M1" s="2460"/>
    </row>
    <row r="2" spans="2:14" ht="15" x14ac:dyDescent="0.2">
      <c r="B2" s="2461">
        <f>'Single Audit Cover'!E7</f>
        <v>33048801060</v>
      </c>
      <c r="C2" s="2461"/>
      <c r="D2" s="2461"/>
      <c r="E2" s="2461"/>
      <c r="F2" s="2461"/>
      <c r="G2" s="2461"/>
      <c r="H2" s="2461"/>
      <c r="I2" s="2461"/>
      <c r="J2" s="2461"/>
      <c r="K2" s="2461"/>
      <c r="L2" s="2461"/>
      <c r="M2" s="2461"/>
      <c r="N2" s="1302"/>
    </row>
    <row r="3" spans="2:14" ht="15" x14ac:dyDescent="0.2">
      <c r="B3" s="2462" t="s">
        <v>1281</v>
      </c>
      <c r="C3" s="2462"/>
      <c r="D3" s="2462"/>
      <c r="E3" s="2462"/>
      <c r="F3" s="2462"/>
      <c r="G3" s="2462"/>
      <c r="H3" s="2462"/>
      <c r="I3" s="2462"/>
      <c r="J3" s="2462"/>
      <c r="K3" s="2462"/>
      <c r="L3" s="2462"/>
      <c r="M3" s="2462"/>
      <c r="N3" s="1302"/>
    </row>
    <row r="4" spans="2:14" ht="15" x14ac:dyDescent="0.2">
      <c r="B4" s="2463" t="str">
        <f>'Single Audit Cover'!A4</f>
        <v>Year Ending June 30, 2018</v>
      </c>
      <c r="C4" s="2463"/>
      <c r="D4" s="2463"/>
      <c r="E4" s="2463"/>
      <c r="F4" s="2463"/>
      <c r="G4" s="2463"/>
      <c r="H4" s="2463"/>
      <c r="I4" s="2463"/>
      <c r="J4" s="2463"/>
      <c r="K4" s="2463"/>
      <c r="L4" s="2463"/>
      <c r="M4" s="2463"/>
      <c r="N4" s="1302"/>
    </row>
    <row r="6" spans="2:14" x14ac:dyDescent="0.2">
      <c r="B6" s="1303"/>
      <c r="C6" s="1304"/>
      <c r="D6" s="1305" t="s">
        <v>1327</v>
      </c>
      <c r="E6" s="1306" t="s">
        <v>548</v>
      </c>
      <c r="F6" s="1307"/>
      <c r="G6" s="1308" t="s">
        <v>1833</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1834</v>
      </c>
      <c r="D9" s="1314" t="s">
        <v>1835</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6" t="s">
        <v>2097</v>
      </c>
      <c r="C11" s="1338"/>
      <c r="D11" s="1339"/>
      <c r="E11" s="1340"/>
      <c r="F11" s="1340"/>
      <c r="G11" s="1340"/>
      <c r="H11" s="1340"/>
      <c r="I11" s="1340"/>
      <c r="J11" s="1340"/>
      <c r="K11" s="1340"/>
      <c r="L11" s="1340"/>
      <c r="M11" s="1340"/>
    </row>
    <row r="12" spans="2:14" ht="20.100000000000001" customHeight="1" x14ac:dyDescent="0.2">
      <c r="B12" s="1956" t="s">
        <v>2098</v>
      </c>
      <c r="C12" s="1341"/>
      <c r="D12" s="1342"/>
      <c r="E12" s="1343"/>
      <c r="F12" s="1343"/>
      <c r="G12" s="1343"/>
      <c r="H12" s="1343"/>
      <c r="I12" s="1340"/>
      <c r="J12" s="1343"/>
      <c r="K12" s="1343"/>
      <c r="L12" s="1340"/>
      <c r="M12" s="1343"/>
    </row>
    <row r="13" spans="2:14" ht="20.100000000000001" customHeight="1" x14ac:dyDescent="0.2">
      <c r="B13" s="1957" t="s">
        <v>2101</v>
      </c>
      <c r="C13" s="1341"/>
      <c r="D13" s="1341"/>
      <c r="E13" s="1341"/>
      <c r="F13" s="1341"/>
      <c r="G13" s="1341"/>
      <c r="H13" s="1341"/>
      <c r="I13" s="1341"/>
      <c r="J13" s="1341"/>
      <c r="K13" s="1343"/>
      <c r="L13" s="1340"/>
      <c r="M13" s="1343"/>
    </row>
    <row r="14" spans="2:14" ht="20.100000000000001" customHeight="1" x14ac:dyDescent="0.2">
      <c r="B14" s="1957" t="s">
        <v>2099</v>
      </c>
      <c r="C14" s="1341">
        <v>84.173000000000002</v>
      </c>
      <c r="D14" s="1342" t="s">
        <v>2100</v>
      </c>
      <c r="E14" s="1343">
        <v>0</v>
      </c>
      <c r="F14" s="1959">
        <v>18778</v>
      </c>
      <c r="G14" s="1343">
        <v>0</v>
      </c>
      <c r="H14" s="1960">
        <v>0</v>
      </c>
      <c r="I14" s="1340">
        <v>18778</v>
      </c>
      <c r="J14" s="1961">
        <v>0</v>
      </c>
      <c r="K14" s="1343">
        <v>0</v>
      </c>
      <c r="L14" s="1340">
        <f>+G14+I14+K14</f>
        <v>18778</v>
      </c>
      <c r="M14" s="1343">
        <v>52000</v>
      </c>
    </row>
    <row r="15" spans="2:14" ht="20.100000000000001" customHeight="1" x14ac:dyDescent="0.2">
      <c r="B15" s="1337" t="s">
        <v>1231</v>
      </c>
      <c r="C15" s="1341"/>
      <c r="D15" s="1342"/>
      <c r="E15" s="1343"/>
      <c r="F15" s="1343"/>
      <c r="G15" s="1343"/>
      <c r="H15" s="1343"/>
      <c r="I15" s="1340"/>
      <c r="J15" s="1343"/>
      <c r="K15" s="1343"/>
      <c r="L15" s="1340"/>
      <c r="M15" s="1343"/>
    </row>
    <row r="16" spans="2:14" ht="20.100000000000001" customHeight="1" x14ac:dyDescent="0.2">
      <c r="B16" s="1337"/>
      <c r="C16" s="1341"/>
      <c r="D16" s="1342"/>
      <c r="E16" s="1343"/>
      <c r="F16" s="1343"/>
      <c r="G16" s="1343"/>
      <c r="H16" s="1343"/>
      <c r="I16" s="1340"/>
      <c r="J16" s="1343"/>
      <c r="K16" s="1343"/>
      <c r="L16" s="1340"/>
      <c r="M16" s="1343"/>
    </row>
    <row r="17" spans="2:14" ht="20.100000000000001" customHeight="1" x14ac:dyDescent="0.2">
      <c r="B17" s="1957" t="s">
        <v>2102</v>
      </c>
      <c r="C17" s="1341">
        <v>84.027000000000001</v>
      </c>
      <c r="D17" s="1342" t="s">
        <v>2103</v>
      </c>
      <c r="E17" s="1343">
        <v>0</v>
      </c>
      <c r="F17" s="1959">
        <v>1324847</v>
      </c>
      <c r="G17" s="1343">
        <v>0</v>
      </c>
      <c r="H17" s="1960">
        <v>0</v>
      </c>
      <c r="I17" s="1340">
        <v>1324847</v>
      </c>
      <c r="J17" s="1961">
        <v>0</v>
      </c>
      <c r="K17" s="1343">
        <v>799</v>
      </c>
      <c r="L17" s="1340">
        <f t="shared" ref="L17:L23" si="0">+G17+I17+K17</f>
        <v>1325646</v>
      </c>
      <c r="M17" s="1343">
        <v>1739433</v>
      </c>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958" t="s">
        <v>2104</v>
      </c>
      <c r="C19" s="1341"/>
      <c r="D19" s="1342"/>
      <c r="E19" s="1343"/>
      <c r="F19" s="1959">
        <f>F14+F17</f>
        <v>1343625</v>
      </c>
      <c r="G19" s="1343"/>
      <c r="H19" s="1343"/>
      <c r="I19" s="1959">
        <f>I14+I17</f>
        <v>1343625</v>
      </c>
      <c r="J19" s="1959">
        <f>J14+J17</f>
        <v>0</v>
      </c>
      <c r="K19" s="1343"/>
      <c r="L19" s="1340">
        <f t="shared" si="0"/>
        <v>1343625</v>
      </c>
      <c r="M19" s="1343"/>
    </row>
    <row r="20" spans="2:14" ht="20.100000000000001" customHeight="1" x14ac:dyDescent="0.2">
      <c r="B20" s="1337"/>
      <c r="C20" s="1341"/>
      <c r="D20" s="1342"/>
      <c r="E20" s="1343"/>
      <c r="F20" s="1340"/>
      <c r="G20" s="1343"/>
      <c r="H20" s="1343"/>
      <c r="I20" s="1343"/>
      <c r="J20" s="1343"/>
      <c r="K20" s="1343"/>
      <c r="L20" s="1340"/>
      <c r="M20" s="1343"/>
    </row>
    <row r="21" spans="2:14" ht="20.100000000000001" customHeight="1" x14ac:dyDescent="0.2">
      <c r="B21" s="1956" t="s">
        <v>2105</v>
      </c>
      <c r="C21" s="1341"/>
      <c r="D21" s="1342"/>
      <c r="E21" s="1343"/>
      <c r="F21" s="1343"/>
      <c r="G21" s="1343"/>
      <c r="H21" s="1343"/>
      <c r="I21" s="1343"/>
      <c r="J21" s="1343"/>
      <c r="K21" s="1343"/>
      <c r="L21" s="1340"/>
      <c r="M21" s="1343"/>
    </row>
    <row r="22" spans="2:14" ht="20.100000000000001" customHeight="1" x14ac:dyDescent="0.2">
      <c r="B22" s="1956" t="s">
        <v>2106</v>
      </c>
      <c r="C22" s="1341"/>
      <c r="D22" s="1342"/>
      <c r="E22" s="1343"/>
      <c r="F22" s="1343"/>
      <c r="G22" s="1343"/>
      <c r="H22" s="1343"/>
      <c r="I22" s="1343"/>
      <c r="J22" s="1343"/>
      <c r="K22" s="1343"/>
      <c r="L22" s="1340"/>
      <c r="M22" s="1343"/>
    </row>
    <row r="23" spans="2:14" ht="20.100000000000001" customHeight="1" x14ac:dyDescent="0.2">
      <c r="B23" s="1957" t="s">
        <v>2107</v>
      </c>
      <c r="C23" s="1341">
        <v>93.778000000000006</v>
      </c>
      <c r="D23" s="1342">
        <v>2018</v>
      </c>
      <c r="E23" s="1343">
        <v>0</v>
      </c>
      <c r="F23" s="1959">
        <v>40566</v>
      </c>
      <c r="G23" s="1343">
        <v>0</v>
      </c>
      <c r="H23" s="1343">
        <v>0</v>
      </c>
      <c r="I23" s="1960">
        <v>40566</v>
      </c>
      <c r="J23" s="1960">
        <v>0</v>
      </c>
      <c r="K23" s="1343">
        <v>0</v>
      </c>
      <c r="L23" s="1340">
        <f t="shared" si="0"/>
        <v>40566</v>
      </c>
      <c r="M23" s="1343" t="s">
        <v>2108</v>
      </c>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956" t="s">
        <v>2109</v>
      </c>
      <c r="C25" s="1341"/>
      <c r="D25" s="1342"/>
      <c r="E25" s="1343"/>
      <c r="F25" s="1959">
        <f>F19+F23</f>
        <v>1384191</v>
      </c>
      <c r="G25" s="1343"/>
      <c r="H25" s="1343"/>
      <c r="I25" s="1959">
        <f>I19+I23</f>
        <v>1384191</v>
      </c>
      <c r="J25" s="1959">
        <f>J19+J23</f>
        <v>0</v>
      </c>
      <c r="K25" s="1343"/>
      <c r="L25" s="1340"/>
      <c r="M25" s="1343"/>
    </row>
    <row r="26" spans="2:14" ht="20.100000000000001" customHeight="1" x14ac:dyDescent="0.2">
      <c r="B26" s="1337"/>
      <c r="C26" s="1341"/>
      <c r="D26" s="1342"/>
      <c r="E26" s="1343"/>
      <c r="F26" s="1340"/>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42&amp;R&amp;8Page 42</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4" zoomScale="120" zoomScaleNormal="120" workbookViewId="0">
      <selection activeCell="H43" sqref="H4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5" t="str">
        <f>'Single Audit Cover'!A7</f>
        <v>Knox Warren SpEd District</v>
      </c>
      <c r="B1" s="2465"/>
      <c r="C1" s="2465"/>
      <c r="D1" s="2465"/>
      <c r="E1" s="2465"/>
      <c r="F1" s="2465"/>
    </row>
    <row r="2" spans="1:7" ht="13.5" customHeight="1" x14ac:dyDescent="0.2">
      <c r="A2" s="2461">
        <f>'Single Audit Cover'!E7</f>
        <v>33048801060</v>
      </c>
      <c r="B2" s="2461"/>
      <c r="C2" s="2461"/>
      <c r="D2" s="2461"/>
      <c r="E2" s="2461"/>
      <c r="F2" s="2461"/>
      <c r="G2" s="1275"/>
    </row>
    <row r="3" spans="1:7" ht="15.75" customHeight="1" x14ac:dyDescent="0.2">
      <c r="A3" s="2466" t="s">
        <v>1333</v>
      </c>
      <c r="B3" s="2466"/>
      <c r="C3" s="2466"/>
      <c r="D3" s="2466"/>
      <c r="E3" s="2466"/>
      <c r="F3" s="2466"/>
    </row>
    <row r="4" spans="1:7" ht="13.5" customHeight="1" x14ac:dyDescent="0.2">
      <c r="A4" s="2467" t="str">
        <f>'Single Audit Cover'!A4</f>
        <v>Year Ending June 30, 2018</v>
      </c>
      <c r="B4" s="2467"/>
      <c r="C4" s="2467"/>
      <c r="D4" s="2467"/>
      <c r="E4" s="2467"/>
      <c r="F4" s="2467"/>
    </row>
    <row r="5" spans="1:7" ht="8.25" customHeight="1" x14ac:dyDescent="0.2">
      <c r="C5" s="317"/>
      <c r="D5" s="317"/>
    </row>
    <row r="6" spans="1:7" ht="13.5" customHeight="1" x14ac:dyDescent="0.2">
      <c r="A6" s="1276" t="s">
        <v>1830</v>
      </c>
      <c r="C6" s="317"/>
      <c r="D6" s="317"/>
    </row>
    <row r="7" spans="1:7" ht="60.95" customHeight="1" x14ac:dyDescent="0.2">
      <c r="A7" s="2464" t="s">
        <v>2111</v>
      </c>
      <c r="B7" s="2464"/>
      <c r="C7" s="2464"/>
      <c r="D7" s="2464"/>
      <c r="E7" s="2464"/>
      <c r="F7" s="2464"/>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21" customHeight="1" x14ac:dyDescent="0.2">
      <c r="A13" s="2464" t="s">
        <v>2112</v>
      </c>
      <c r="B13" s="2464"/>
      <c r="C13" s="2464"/>
      <c r="D13" s="2464"/>
      <c r="E13" s="2464"/>
      <c r="F13" s="2464"/>
    </row>
    <row r="14" spans="1:7" ht="9.75" customHeight="1" x14ac:dyDescent="0.2">
      <c r="C14" s="1260"/>
      <c r="D14" s="1260"/>
    </row>
    <row r="15" spans="1:7" ht="13.5" customHeight="1" x14ac:dyDescent="0.2">
      <c r="C15" s="1871" t="s">
        <v>1332</v>
      </c>
      <c r="D15" s="2469" t="s">
        <v>1331</v>
      </c>
      <c r="E15" s="2469"/>
      <c r="F15" s="2469"/>
    </row>
    <row r="16" spans="1:7" ht="13.5" customHeight="1" x14ac:dyDescent="0.2">
      <c r="A16" s="1282"/>
      <c r="B16" s="1276" t="s">
        <v>1330</v>
      </c>
      <c r="C16" s="1871" t="s">
        <v>1329</v>
      </c>
      <c r="D16" s="2470" t="s">
        <v>1670</v>
      </c>
      <c r="E16" s="2470"/>
      <c r="F16" s="2470"/>
    </row>
    <row r="17" spans="1:6" ht="20.45" customHeight="1" x14ac:dyDescent="0.2">
      <c r="A17" s="1283"/>
      <c r="B17" s="1965" t="s">
        <v>2113</v>
      </c>
      <c r="C17" s="1285"/>
      <c r="D17" s="2468"/>
      <c r="E17" s="2468"/>
      <c r="F17" s="2468"/>
    </row>
    <row r="18" spans="1:6" ht="20.65" customHeight="1" x14ac:dyDescent="0.2">
      <c r="A18" s="1283"/>
      <c r="B18" s="1284"/>
      <c r="C18" s="1285"/>
      <c r="D18" s="2468"/>
      <c r="E18" s="2468"/>
      <c r="F18" s="2468"/>
    </row>
    <row r="19" spans="1:6" ht="20.65" customHeight="1" x14ac:dyDescent="0.2">
      <c r="A19" s="1283"/>
      <c r="B19" s="1284"/>
      <c r="C19" s="1285"/>
      <c r="D19" s="2468"/>
      <c r="E19" s="2468"/>
      <c r="F19" s="2468"/>
    </row>
    <row r="20" spans="1:6" ht="20.65" customHeight="1" x14ac:dyDescent="0.2">
      <c r="A20" s="1283"/>
      <c r="B20" s="1284"/>
      <c r="C20" s="1285"/>
      <c r="D20" s="2468"/>
      <c r="E20" s="2468"/>
      <c r="F20" s="2468"/>
    </row>
    <row r="21" spans="1:6" ht="20.65" customHeight="1" x14ac:dyDescent="0.2">
      <c r="A21" s="1283"/>
      <c r="B21" s="1284"/>
      <c r="C21" s="1285"/>
      <c r="D21" s="2468"/>
      <c r="E21" s="2468"/>
      <c r="F21" s="2468"/>
    </row>
    <row r="22" spans="1:6" ht="20.65" customHeight="1" x14ac:dyDescent="0.2">
      <c r="A22" s="1283"/>
      <c r="B22" s="1284"/>
      <c r="C22" s="1285"/>
      <c r="D22" s="2468"/>
      <c r="E22" s="2468"/>
      <c r="F22" s="2468"/>
    </row>
    <row r="23" spans="1:6" ht="20.65" customHeight="1" x14ac:dyDescent="0.2">
      <c r="A23" s="1283"/>
      <c r="B23" s="1284"/>
      <c r="C23" s="1285"/>
      <c r="D23" s="2468"/>
      <c r="E23" s="2468"/>
      <c r="F23" s="2468"/>
    </row>
    <row r="24" spans="1:6" ht="20.65" customHeight="1" x14ac:dyDescent="0.2">
      <c r="A24" s="1283"/>
      <c r="B24" s="1284"/>
      <c r="C24" s="1285"/>
      <c r="D24" s="2468"/>
      <c r="E24" s="2468"/>
      <c r="F24" s="2468"/>
    </row>
    <row r="25" spans="1:6" ht="20.65" customHeight="1" x14ac:dyDescent="0.2">
      <c r="A25" s="1283"/>
      <c r="B25" s="1284"/>
      <c r="C25" s="1285"/>
      <c r="D25" s="2468"/>
      <c r="E25" s="2468"/>
      <c r="F25" s="2468"/>
    </row>
    <row r="26" spans="1:6" ht="20.65" customHeight="1" x14ac:dyDescent="0.2">
      <c r="A26" s="1283"/>
      <c r="B26" s="1284"/>
      <c r="C26" s="1285"/>
      <c r="D26" s="2468"/>
      <c r="E26" s="2468"/>
      <c r="F26" s="2468"/>
    </row>
    <row r="27" spans="1:6" ht="20.65" customHeight="1" x14ac:dyDescent="0.2">
      <c r="A27" s="1283"/>
      <c r="B27" s="1284"/>
      <c r="C27" s="1285"/>
      <c r="D27" s="2468"/>
      <c r="E27" s="2468"/>
      <c r="F27" s="2468"/>
    </row>
    <row r="28" spans="1:6" ht="20.65" customHeight="1" x14ac:dyDescent="0.2">
      <c r="A28" s="1283"/>
      <c r="B28" s="1284"/>
      <c r="C28" s="1285"/>
      <c r="D28" s="2468"/>
      <c r="E28" s="2468"/>
      <c r="F28" s="2468"/>
    </row>
    <row r="29" spans="1:6" ht="20.65" customHeight="1" x14ac:dyDescent="0.2">
      <c r="A29" s="1283"/>
      <c r="B29" s="1284"/>
      <c r="C29" s="1285"/>
      <c r="D29" s="2468"/>
      <c r="E29" s="2468"/>
      <c r="F29" s="2468"/>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72" t="s">
        <v>2114</v>
      </c>
      <c r="B32" s="2472"/>
      <c r="C32" s="2472"/>
      <c r="D32" s="2472"/>
      <c r="E32" s="2472"/>
      <c r="F32" s="2472"/>
    </row>
    <row r="33" spans="1:6" ht="13.5" customHeight="1" x14ac:dyDescent="0.2">
      <c r="A33" s="328" t="s">
        <v>1509</v>
      </c>
      <c r="B33" s="328"/>
      <c r="C33" s="1288">
        <v>0</v>
      </c>
      <c r="D33" s="1928"/>
      <c r="E33" s="1286"/>
    </row>
    <row r="34" spans="1:6" ht="13.5" customHeight="1" x14ac:dyDescent="0.2">
      <c r="A34" s="328" t="s">
        <v>1944</v>
      </c>
      <c r="B34" s="328"/>
      <c r="C34" s="1289">
        <v>0</v>
      </c>
      <c r="D34" s="1928" t="s">
        <v>1671</v>
      </c>
      <c r="E34" s="2473">
        <f>+C33+C34</f>
        <v>0</v>
      </c>
      <c r="F34" s="2474"/>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v>0</v>
      </c>
      <c r="D38" s="1928"/>
      <c r="E38" s="1286"/>
    </row>
    <row r="39" spans="1:6" ht="14.25" customHeight="1" x14ac:dyDescent="0.2">
      <c r="A39" s="328"/>
      <c r="B39" s="328" t="s">
        <v>1511</v>
      </c>
      <c r="C39" s="1292">
        <v>0</v>
      </c>
      <c r="D39" s="1928"/>
      <c r="E39" s="1286"/>
    </row>
    <row r="40" spans="1:6" ht="14.25" customHeight="1" x14ac:dyDescent="0.2">
      <c r="A40" s="328"/>
      <c r="B40" s="328" t="s">
        <v>1512</v>
      </c>
      <c r="C40" s="1292">
        <v>0</v>
      </c>
      <c r="D40" s="1928"/>
      <c r="E40" s="1286"/>
    </row>
    <row r="41" spans="1:6" ht="14.25" customHeight="1" x14ac:dyDescent="0.2">
      <c r="A41" s="328"/>
      <c r="B41" s="328" t="s">
        <v>1513</v>
      </c>
      <c r="C41" s="1292">
        <v>0</v>
      </c>
      <c r="D41" s="1928"/>
      <c r="E41" s="1286"/>
    </row>
    <row r="42" spans="1:6" ht="14.25" customHeight="1" x14ac:dyDescent="0.2">
      <c r="A42" s="328" t="s">
        <v>1514</v>
      </c>
      <c r="B42" s="328"/>
      <c r="C42" s="1926">
        <v>0</v>
      </c>
      <c r="D42" s="1928"/>
      <c r="E42" s="1286"/>
    </row>
    <row r="43" spans="1:6" ht="14.25" customHeight="1" x14ac:dyDescent="0.2">
      <c r="A43" s="328" t="s">
        <v>1515</v>
      </c>
      <c r="B43" s="328"/>
      <c r="C43" s="1293" t="s">
        <v>401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5" t="s">
        <v>1672</v>
      </c>
      <c r="C49" s="2475"/>
      <c r="D49" s="2475"/>
      <c r="E49" s="1399"/>
    </row>
    <row r="50" spans="1:5" s="1300" customFormat="1" ht="3.75" customHeight="1" x14ac:dyDescent="0.2">
      <c r="A50" s="1299"/>
      <c r="B50" s="1870"/>
      <c r="C50" s="1870"/>
      <c r="D50" s="1870"/>
      <c r="E50" s="1399"/>
    </row>
    <row r="51" spans="1:5" s="1300" customFormat="1" ht="20.25" customHeight="1" x14ac:dyDescent="0.2">
      <c r="A51" s="1301">
        <v>6</v>
      </c>
      <c r="B51" s="2471" t="s">
        <v>1632</v>
      </c>
      <c r="C51" s="2471"/>
      <c r="D51" s="2471"/>
    </row>
    <row r="52" spans="1:5" ht="14.25" customHeight="1" x14ac:dyDescent="0.2">
      <c r="A52" s="1301"/>
      <c r="B52" s="2471"/>
      <c r="C52" s="2471"/>
      <c r="D52" s="2471"/>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43&amp;R&amp;8Page 43</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1" t="s">
        <v>1230</v>
      </c>
      <c r="B2" s="2081"/>
      <c r="C2" s="2081"/>
      <c r="D2" s="2081"/>
      <c r="E2" s="2081"/>
      <c r="F2" s="2081"/>
      <c r="G2" s="2081"/>
      <c r="H2" s="2081"/>
      <c r="I2" s="2081"/>
      <c r="J2" s="2081"/>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1721</v>
      </c>
    </row>
    <row r="11" spans="1:11" s="181" customFormat="1" x14ac:dyDescent="0.2">
      <c r="A11" s="219"/>
      <c r="B11" s="226" t="s">
        <v>2074</v>
      </c>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1636</v>
      </c>
    </row>
    <row r="22" spans="1:4" s="181" customFormat="1" x14ac:dyDescent="0.2">
      <c r="A22" s="219"/>
      <c r="B22" s="226"/>
      <c r="C22" s="227">
        <v>9</v>
      </c>
      <c r="D22" s="231" t="s">
        <v>1726</v>
      </c>
    </row>
    <row r="23" spans="1:4" s="181" customFormat="1" x14ac:dyDescent="0.2">
      <c r="A23" s="219"/>
      <c r="B23" s="234"/>
      <c r="C23" s="227"/>
      <c r="D23" s="235" t="s">
        <v>1637</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5" t="s">
        <v>1730</v>
      </c>
      <c r="B35" s="2096"/>
      <c r="C35" s="2096"/>
      <c r="D35" s="2096"/>
      <c r="E35" s="2097"/>
      <c r="F35" s="2097"/>
      <c r="G35" s="2097"/>
      <c r="H35" s="2097"/>
      <c r="I35" s="209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5" t="s">
        <v>331</v>
      </c>
      <c r="B47" s="2098"/>
      <c r="C47" s="2098"/>
      <c r="D47" s="2098"/>
      <c r="E47" s="2099"/>
      <c r="F47" s="2099"/>
      <c r="G47" s="2099"/>
      <c r="H47" s="2099"/>
      <c r="I47" s="209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2" t="s">
        <v>2146</v>
      </c>
      <c r="C57" s="2103"/>
      <c r="D57" s="2103"/>
      <c r="E57" s="2103"/>
      <c r="F57" s="2103"/>
      <c r="G57" s="2103"/>
      <c r="H57" s="2103"/>
      <c r="I57" s="2103"/>
      <c r="J57" s="2104"/>
    </row>
    <row r="58" spans="1:10" s="181" customFormat="1" x14ac:dyDescent="0.2">
      <c r="A58" s="253"/>
      <c r="B58" s="2105"/>
      <c r="C58" s="2106"/>
      <c r="D58" s="2106"/>
      <c r="E58" s="2106"/>
      <c r="F58" s="2106"/>
      <c r="G58" s="2106"/>
      <c r="H58" s="2106"/>
      <c r="I58" s="2106"/>
      <c r="J58" s="2107"/>
    </row>
    <row r="59" spans="1:10" s="181" customFormat="1" x14ac:dyDescent="0.2">
      <c r="A59" s="253"/>
      <c r="B59" s="2105"/>
      <c r="C59" s="2106"/>
      <c r="D59" s="2106"/>
      <c r="E59" s="2106"/>
      <c r="F59" s="2106"/>
      <c r="G59" s="2106"/>
      <c r="H59" s="2106"/>
      <c r="I59" s="2106"/>
      <c r="J59" s="2107"/>
    </row>
    <row r="60" spans="1:10" s="181" customFormat="1" x14ac:dyDescent="0.2">
      <c r="A60" s="253"/>
      <c r="B60" s="2105"/>
      <c r="C60" s="2106"/>
      <c r="D60" s="2106"/>
      <c r="E60" s="2106"/>
      <c r="F60" s="2106"/>
      <c r="G60" s="2106"/>
      <c r="H60" s="2106"/>
      <c r="I60" s="2106"/>
      <c r="J60" s="2107"/>
    </row>
    <row r="61" spans="1:10" s="181" customFormat="1" x14ac:dyDescent="0.2">
      <c r="A61" s="253"/>
      <c r="B61" s="2105"/>
      <c r="C61" s="2106"/>
      <c r="D61" s="2106"/>
      <c r="E61" s="2106"/>
      <c r="F61" s="2106"/>
      <c r="G61" s="2106"/>
      <c r="H61" s="2106"/>
      <c r="I61" s="2106"/>
      <c r="J61" s="2107"/>
    </row>
    <row r="62" spans="1:10" s="181" customFormat="1" x14ac:dyDescent="0.2">
      <c r="A62" s="253"/>
      <c r="B62" s="2105"/>
      <c r="C62" s="2106"/>
      <c r="D62" s="2106"/>
      <c r="E62" s="2106"/>
      <c r="F62" s="2106"/>
      <c r="G62" s="2106"/>
      <c r="H62" s="2106"/>
      <c r="I62" s="2106"/>
      <c r="J62" s="2107"/>
    </row>
    <row r="63" spans="1:10" s="181" customFormat="1" x14ac:dyDescent="0.2">
      <c r="A63" s="253"/>
      <c r="B63" s="2105"/>
      <c r="C63" s="2106"/>
      <c r="D63" s="2106"/>
      <c r="E63" s="2106"/>
      <c r="F63" s="2106"/>
      <c r="G63" s="2106"/>
      <c r="H63" s="2106"/>
      <c r="I63" s="2106"/>
      <c r="J63" s="2107"/>
    </row>
    <row r="64" spans="1:10" s="181" customFormat="1" x14ac:dyDescent="0.2">
      <c r="A64" s="253"/>
      <c r="B64" s="2105"/>
      <c r="C64" s="2106"/>
      <c r="D64" s="2106"/>
      <c r="E64" s="2106"/>
      <c r="F64" s="2106"/>
      <c r="G64" s="2106"/>
      <c r="H64" s="2106"/>
      <c r="I64" s="2106"/>
      <c r="J64" s="2107"/>
    </row>
    <row r="65" spans="1:10" s="181" customFormat="1" x14ac:dyDescent="0.2">
      <c r="A65" s="253"/>
      <c r="B65" s="2105"/>
      <c r="C65" s="2106"/>
      <c r="D65" s="2106"/>
      <c r="E65" s="2106"/>
      <c r="F65" s="2106"/>
      <c r="G65" s="2106"/>
      <c r="H65" s="2106"/>
      <c r="I65" s="2106"/>
      <c r="J65" s="2107"/>
    </row>
    <row r="66" spans="1:10" s="181" customFormat="1" x14ac:dyDescent="0.2">
      <c r="A66" s="253"/>
      <c r="B66" s="2105"/>
      <c r="C66" s="2106"/>
      <c r="D66" s="2106"/>
      <c r="E66" s="2106"/>
      <c r="F66" s="2106"/>
      <c r="G66" s="2106"/>
      <c r="H66" s="2106"/>
      <c r="I66" s="2106"/>
      <c r="J66" s="2107"/>
    </row>
    <row r="67" spans="1:10" s="181" customFormat="1" ht="9" customHeight="1" x14ac:dyDescent="0.2">
      <c r="A67" s="254"/>
      <c r="B67" s="2108"/>
      <c r="C67" s="2109"/>
      <c r="D67" s="2109"/>
      <c r="E67" s="2109"/>
      <c r="F67" s="2109"/>
      <c r="G67" s="2109"/>
      <c r="H67" s="2109"/>
      <c r="I67" s="2109"/>
      <c r="J67" s="211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5" t="s">
        <v>1390</v>
      </c>
      <c r="B70" s="2098"/>
      <c r="C70" s="2098"/>
      <c r="D70" s="2098"/>
      <c r="E70" s="2099"/>
      <c r="F70" s="2099"/>
      <c r="G70" s="2099"/>
      <c r="H70" s="2099"/>
      <c r="I70" s="209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2016</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0" t="s">
        <v>1387</v>
      </c>
      <c r="B83" s="2100"/>
      <c r="C83" s="2100"/>
      <c r="D83" s="210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2"/>
      <c r="C102" s="2083"/>
      <c r="D102" s="2083"/>
      <c r="E102" s="2083"/>
      <c r="F102" s="2083"/>
      <c r="G102" s="2083"/>
      <c r="H102" s="2083"/>
      <c r="I102" s="2084"/>
    </row>
    <row r="103" spans="1:9" s="181" customFormat="1" ht="11.25" customHeight="1" x14ac:dyDescent="0.2">
      <c r="A103" s="316"/>
      <c r="B103" s="2085"/>
      <c r="C103" s="2086"/>
      <c r="D103" s="2086"/>
      <c r="E103" s="2086"/>
      <c r="F103" s="2086"/>
      <c r="G103" s="2086"/>
      <c r="H103" s="2086"/>
      <c r="I103" s="2087"/>
    </row>
    <row r="104" spans="1:9" s="181" customFormat="1" ht="11.25" customHeight="1" x14ac:dyDescent="0.2">
      <c r="A104" s="316"/>
      <c r="B104" s="2085"/>
      <c r="C104" s="2086"/>
      <c r="D104" s="2086"/>
      <c r="E104" s="2086"/>
      <c r="F104" s="2086"/>
      <c r="G104" s="2086"/>
      <c r="H104" s="2086"/>
      <c r="I104" s="2087"/>
    </row>
    <row r="105" spans="1:9" s="181" customFormat="1" x14ac:dyDescent="0.2">
      <c r="A105" s="316"/>
      <c r="B105" s="2085"/>
      <c r="C105" s="2086"/>
      <c r="D105" s="2086"/>
      <c r="E105" s="2086"/>
      <c r="F105" s="2086"/>
      <c r="G105" s="2086"/>
      <c r="H105" s="2086"/>
      <c r="I105" s="2087"/>
    </row>
    <row r="106" spans="1:9" s="181" customFormat="1" ht="11.25" customHeight="1" x14ac:dyDescent="0.2">
      <c r="A106" s="316"/>
      <c r="B106" s="2085"/>
      <c r="C106" s="2086"/>
      <c r="D106" s="2086"/>
      <c r="E106" s="2086"/>
      <c r="F106" s="2086"/>
      <c r="G106" s="2086"/>
      <c r="H106" s="2086"/>
      <c r="I106" s="2087"/>
    </row>
    <row r="107" spans="1:9" s="181" customFormat="1" ht="11.25" customHeight="1" x14ac:dyDescent="0.2">
      <c r="A107" s="316"/>
      <c r="B107" s="2085"/>
      <c r="C107" s="2086"/>
      <c r="D107" s="2086"/>
      <c r="E107" s="2086"/>
      <c r="F107" s="2086"/>
      <c r="G107" s="2086"/>
      <c r="H107" s="2086"/>
      <c r="I107" s="2087"/>
    </row>
    <row r="108" spans="1:9" s="181" customFormat="1" ht="11.25" customHeight="1" x14ac:dyDescent="0.2">
      <c r="A108" s="316"/>
      <c r="B108" s="2085"/>
      <c r="C108" s="2086"/>
      <c r="D108" s="2086"/>
      <c r="E108" s="2086"/>
      <c r="F108" s="2086"/>
      <c r="G108" s="2086"/>
      <c r="H108" s="2086"/>
      <c r="I108" s="2087"/>
    </row>
    <row r="109" spans="1:9" s="181" customFormat="1" ht="11.25" customHeight="1" x14ac:dyDescent="0.2">
      <c r="A109" s="316"/>
      <c r="B109" s="2085"/>
      <c r="C109" s="2086"/>
      <c r="D109" s="2086"/>
      <c r="E109" s="2086"/>
      <c r="F109" s="2086"/>
      <c r="G109" s="2086"/>
      <c r="H109" s="2086"/>
      <c r="I109" s="2087"/>
    </row>
    <row r="110" spans="1:9" s="181" customFormat="1" ht="11.25" customHeight="1" x14ac:dyDescent="0.2">
      <c r="A110" s="316"/>
      <c r="B110" s="2085"/>
      <c r="C110" s="2086"/>
      <c r="D110" s="2086"/>
      <c r="E110" s="2086"/>
      <c r="F110" s="2086"/>
      <c r="G110" s="2086"/>
      <c r="H110" s="2086"/>
      <c r="I110" s="2087"/>
    </row>
    <row r="111" spans="1:9" s="181" customFormat="1" ht="11.25" customHeight="1" x14ac:dyDescent="0.2">
      <c r="A111" s="316"/>
      <c r="B111" s="2085"/>
      <c r="C111" s="2086"/>
      <c r="D111" s="2086"/>
      <c r="E111" s="2086"/>
      <c r="F111" s="2086"/>
      <c r="G111" s="2086"/>
      <c r="H111" s="2086"/>
      <c r="I111" s="2087"/>
    </row>
    <row r="112" spans="1:9" s="181" customFormat="1" ht="11.25" customHeight="1" x14ac:dyDescent="0.2">
      <c r="A112" s="316"/>
      <c r="B112" s="2088"/>
      <c r="C112" s="2089"/>
      <c r="D112" s="2089"/>
      <c r="E112" s="2089"/>
      <c r="F112" s="2089"/>
      <c r="G112" s="2089"/>
      <c r="H112" s="2089"/>
      <c r="I112" s="209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1" t="s">
        <v>2090</v>
      </c>
      <c r="D114" s="209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2" t="s">
        <v>1397</v>
      </c>
      <c r="D117" s="2093"/>
      <c r="E117" s="2094"/>
      <c r="F117" s="2094"/>
      <c r="G117" s="2094"/>
      <c r="H117" s="209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2017</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40" zoomScale="110" zoomScaleNormal="110" workbookViewId="0">
      <selection activeCell="H31" sqref="H31"/>
    </sheetView>
  </sheetViews>
  <sheetFormatPr defaultColWidth="9.140625" defaultRowHeight="12.75" x14ac:dyDescent="0.2"/>
  <cols>
    <col min="1" max="1" width="1.42578125" style="1300" customWidth="1"/>
    <col min="2" max="2" width="24.42578125" style="1357" customWidth="1"/>
    <col min="3" max="3" width="30.28515625" style="317" customWidth="1"/>
    <col min="4" max="4" width="10.57031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Knox Warren SpEd District</v>
      </c>
      <c r="C1" s="2481"/>
      <c r="D1" s="2481"/>
      <c r="E1" s="2481"/>
      <c r="F1" s="2481"/>
      <c r="G1" s="2481"/>
      <c r="H1" s="2481"/>
      <c r="I1" s="2481"/>
      <c r="J1" s="1422"/>
    </row>
    <row r="2" spans="2:10" s="317" customFormat="1" ht="12.75" customHeight="1" x14ac:dyDescent="0.2">
      <c r="B2" s="2482">
        <f>'Single Audit Cover'!E7</f>
        <v>33048801060</v>
      </c>
      <c r="C2" s="2483"/>
      <c r="D2" s="2483"/>
      <c r="E2" s="2483"/>
      <c r="F2" s="2483"/>
      <c r="G2" s="2483"/>
      <c r="H2" s="2483"/>
      <c r="I2" s="2483"/>
      <c r="J2" s="1422"/>
    </row>
    <row r="3" spans="2:10" s="317" customFormat="1" ht="12.75" customHeight="1" x14ac:dyDescent="0.2">
      <c r="B3" s="2484" t="s">
        <v>1347</v>
      </c>
      <c r="C3" s="2485"/>
      <c r="D3" s="2485"/>
      <c r="E3" s="2485"/>
      <c r="F3" s="2485"/>
      <c r="G3" s="2485"/>
      <c r="H3" s="2485"/>
      <c r="I3" s="2485"/>
      <c r="J3" s="1423"/>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4" t="s">
        <v>1346</v>
      </c>
      <c r="C7" s="2485"/>
      <c r="D7" s="2485"/>
      <c r="E7" s="2485"/>
      <c r="F7" s="2485"/>
      <c r="G7" s="2485"/>
      <c r="H7" s="2485"/>
      <c r="I7" s="248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6" t="s">
        <v>2115</v>
      </c>
      <c r="D11" s="248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t="s">
        <v>2074</v>
      </c>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t="s">
        <v>2074</v>
      </c>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t="s">
        <v>2074</v>
      </c>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7" t="s">
        <v>2140</v>
      </c>
      <c r="E29" s="2487"/>
      <c r="F29" s="2487"/>
      <c r="G29" s="2487"/>
      <c r="H29" s="2487"/>
      <c r="I29" s="2487"/>
    </row>
    <row r="30" spans="2:9" s="317" customFormat="1" x14ac:dyDescent="0.2">
      <c r="B30" s="1368"/>
      <c r="C30" s="322"/>
      <c r="D30" s="1433" t="s">
        <v>1847</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t="s">
        <v>2074</v>
      </c>
      <c r="F33" s="1300" t="s">
        <v>940</v>
      </c>
      <c r="G33" s="1438"/>
      <c r="H33" s="1300" t="s">
        <v>101</v>
      </c>
    </row>
    <row r="35" spans="2:9" x14ac:dyDescent="0.2">
      <c r="B35" s="1441" t="s">
        <v>1848</v>
      </c>
      <c r="C35" s="1442"/>
      <c r="D35" s="1267"/>
    </row>
    <row r="36" spans="2:9" ht="6" customHeight="1" x14ac:dyDescent="0.2">
      <c r="B36" s="1441"/>
      <c r="C36" s="1442"/>
      <c r="D36" s="1267"/>
    </row>
    <row r="37" spans="2:9" ht="17.25" customHeight="1" x14ac:dyDescent="0.2">
      <c r="B37" s="1443" t="s">
        <v>1849</v>
      </c>
      <c r="C37" s="2488" t="s">
        <v>1850</v>
      </c>
      <c r="D37" s="2489"/>
      <c r="E37" s="2489"/>
      <c r="F37" s="2490"/>
      <c r="G37" s="2488" t="s">
        <v>1674</v>
      </c>
      <c r="H37" s="2489"/>
      <c r="I37" s="2490"/>
    </row>
    <row r="38" spans="2:9" ht="16.5" customHeight="1" x14ac:dyDescent="0.2">
      <c r="B38" s="1444" t="s">
        <v>2117</v>
      </c>
      <c r="C38" s="2476" t="s">
        <v>2116</v>
      </c>
      <c r="D38" s="2477"/>
      <c r="E38" s="2477"/>
      <c r="F38" s="2478"/>
      <c r="G38" s="2491">
        <v>1343625</v>
      </c>
      <c r="H38" s="2492"/>
      <c r="I38" s="2493"/>
    </row>
    <row r="39" spans="2:9" ht="16.5" customHeight="1" x14ac:dyDescent="0.2">
      <c r="B39" s="1444"/>
      <c r="C39" s="2476"/>
      <c r="D39" s="2477"/>
      <c r="E39" s="2477"/>
      <c r="F39" s="2478"/>
      <c r="G39" s="2479"/>
      <c r="H39" s="2479"/>
      <c r="I39" s="2479"/>
    </row>
    <row r="40" spans="2:9" ht="16.5" customHeight="1" x14ac:dyDescent="0.2">
      <c r="B40" s="1444"/>
      <c r="C40" s="2476"/>
      <c r="D40" s="2477"/>
      <c r="E40" s="2477"/>
      <c r="F40" s="2478"/>
      <c r="G40" s="2479"/>
      <c r="H40" s="2479"/>
      <c r="I40" s="2479"/>
    </row>
    <row r="41" spans="2:9" ht="16.5" customHeight="1" x14ac:dyDescent="0.2">
      <c r="B41" s="1444"/>
      <c r="C41" s="2476"/>
      <c r="D41" s="2477"/>
      <c r="E41" s="2477"/>
      <c r="F41" s="2478"/>
      <c r="G41" s="2479"/>
      <c r="H41" s="2479"/>
      <c r="I41" s="2479"/>
    </row>
    <row r="42" spans="2:9" ht="16.5" customHeight="1" x14ac:dyDescent="0.2">
      <c r="B42" s="1444"/>
      <c r="C42" s="2476"/>
      <c r="D42" s="2477"/>
      <c r="E42" s="2477"/>
      <c r="F42" s="2478"/>
      <c r="G42" s="2479"/>
      <c r="H42" s="2479"/>
      <c r="I42" s="2479"/>
    </row>
    <row r="43" spans="2:9" ht="16.5" customHeight="1" x14ac:dyDescent="0.2">
      <c r="B43" s="1444"/>
      <c r="C43" s="2494" t="s">
        <v>1675</v>
      </c>
      <c r="D43" s="2495"/>
      <c r="E43" s="2495"/>
      <c r="F43" s="2496"/>
      <c r="G43" s="2497">
        <f>SUM(G38:I42)</f>
        <v>1343625</v>
      </c>
      <c r="H43" s="2497"/>
      <c r="I43" s="2497"/>
    </row>
    <row r="44" spans="2:9" ht="12.75" customHeight="1" x14ac:dyDescent="0.2"/>
    <row r="45" spans="2:9" ht="12.75" customHeight="1" x14ac:dyDescent="0.2">
      <c r="B45" s="1435" t="s">
        <v>1947</v>
      </c>
      <c r="D45" s="2498">
        <v>1384191</v>
      </c>
      <c r="E45" s="2499"/>
    </row>
    <row r="46" spans="2:9" ht="5.25" customHeight="1" x14ac:dyDescent="0.2">
      <c r="B46" s="1445"/>
      <c r="D46" s="1446"/>
      <c r="E46" s="1447"/>
    </row>
    <row r="47" spans="2:9" ht="12.75" customHeight="1" x14ac:dyDescent="0.2">
      <c r="B47" s="1300" t="s">
        <v>1676</v>
      </c>
      <c r="C47" s="1300"/>
      <c r="D47" s="1448">
        <f>+G43/D45</f>
        <v>0.97069335084536745</v>
      </c>
      <c r="E47" s="1449"/>
      <c r="F47" s="1450"/>
      <c r="I47" s="1451"/>
    </row>
    <row r="48" spans="2:9" ht="9.9499999999999993" customHeight="1" x14ac:dyDescent="0.2"/>
    <row r="49" spans="1:9" x14ac:dyDescent="0.2">
      <c r="B49" s="1368" t="s">
        <v>1335</v>
      </c>
      <c r="C49" s="1282"/>
      <c r="D49" s="1282"/>
      <c r="E49" s="2500">
        <v>750000</v>
      </c>
      <c r="F49" s="2500"/>
      <c r="G49" s="2500"/>
      <c r="H49" s="322"/>
    </row>
    <row r="51" spans="1:9" ht="13.5" customHeight="1" x14ac:dyDescent="0.2">
      <c r="B51" s="1368" t="s">
        <v>1334</v>
      </c>
      <c r="C51" s="1282"/>
      <c r="E51" s="1438"/>
      <c r="F51" s="1300" t="s">
        <v>940</v>
      </c>
      <c r="G51" s="1438" t="s">
        <v>2074</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1851</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1852</v>
      </c>
      <c r="C58" s="1464"/>
      <c r="D58" s="1464"/>
    </row>
    <row r="59" spans="1:9" s="1461" customFormat="1" ht="3.95" customHeight="1" x14ac:dyDescent="0.2">
      <c r="A59" s="1458"/>
      <c r="B59" s="1463"/>
      <c r="C59" s="1464"/>
      <c r="D59" s="1464"/>
    </row>
    <row r="60" spans="1:9" s="1461" customFormat="1" ht="13.5" customHeight="1" x14ac:dyDescent="0.2">
      <c r="A60" s="1458"/>
      <c r="B60" s="1463" t="s">
        <v>1853</v>
      </c>
      <c r="C60" s="1464"/>
      <c r="D60" s="1464"/>
    </row>
    <row r="61" spans="1:9" s="1461" customFormat="1" ht="3.95" customHeight="1" x14ac:dyDescent="0.2">
      <c r="A61" s="1458"/>
      <c r="B61" s="1463"/>
      <c r="C61" s="1464"/>
      <c r="D61" s="1464"/>
    </row>
    <row r="62" spans="1:9" s="1461" customFormat="1" ht="12.75" customHeight="1" x14ac:dyDescent="0.2">
      <c r="A62" s="1458"/>
      <c r="B62" s="1463" t="s">
        <v>1854</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44&amp;R&amp;8Page 44</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L32" sqref="L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Knox Warren SpEd District</v>
      </c>
      <c r="C1" s="2480"/>
      <c r="D1" s="2480"/>
      <c r="E1" s="2480"/>
      <c r="F1" s="2480"/>
      <c r="G1" s="2480"/>
      <c r="H1" s="2480"/>
      <c r="I1" s="2480"/>
      <c r="J1" s="2480"/>
      <c r="K1" s="2480"/>
      <c r="L1" s="1374"/>
      <c r="M1" s="1374"/>
    </row>
    <row r="2" spans="1:13" ht="12" customHeight="1" x14ac:dyDescent="0.2">
      <c r="B2" s="2482">
        <f>'Single Audit Cover'!E7</f>
        <v>33048801060</v>
      </c>
      <c r="C2" s="2482"/>
      <c r="D2" s="2482"/>
      <c r="E2" s="2482"/>
      <c r="F2" s="2482"/>
      <c r="G2" s="2482"/>
      <c r="H2" s="2482"/>
      <c r="I2" s="2482"/>
      <c r="J2" s="2482"/>
      <c r="K2" s="2482"/>
      <c r="L2" s="1375"/>
      <c r="M2" s="1376"/>
    </row>
    <row r="3" spans="1:13" ht="10.35" customHeight="1" x14ac:dyDescent="0.2">
      <c r="B3" s="2503" t="s">
        <v>1347</v>
      </c>
      <c r="C3" s="2503"/>
      <c r="D3" s="2503"/>
      <c r="E3" s="2503"/>
      <c r="F3" s="2503"/>
      <c r="G3" s="2503"/>
      <c r="H3" s="2503"/>
      <c r="I3" s="2503"/>
      <c r="J3" s="2503"/>
      <c r="K3" s="2503"/>
      <c r="L3" s="1377"/>
      <c r="M3" s="1377"/>
    </row>
    <row r="4" spans="1:13" ht="14.25" customHeight="1" x14ac:dyDescent="0.2">
      <c r="B4" s="2504" t="str">
        <f>'Single Audit Cover'!A4</f>
        <v>Year Ending June 30, 2018</v>
      </c>
      <c r="C4" s="2504"/>
      <c r="D4" s="2504"/>
      <c r="E4" s="2504"/>
      <c r="F4" s="2504"/>
      <c r="G4" s="2504"/>
      <c r="H4" s="2504"/>
      <c r="I4" s="2504"/>
      <c r="J4" s="2504"/>
      <c r="K4" s="250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4" t="s">
        <v>1363</v>
      </c>
      <c r="C7" s="2504"/>
      <c r="D7" s="2505"/>
      <c r="E7" s="2505"/>
      <c r="F7" s="2505"/>
      <c r="G7" s="2505"/>
      <c r="H7" s="2505"/>
      <c r="I7" s="2505"/>
      <c r="J7" s="2505"/>
      <c r="K7" s="250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1948</v>
      </c>
      <c r="D10" s="1386">
        <v>1</v>
      </c>
      <c r="E10" s="322"/>
      <c r="F10" s="1387" t="s">
        <v>1362</v>
      </c>
      <c r="G10" s="1388" t="s">
        <v>2074</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2" t="s">
        <v>2118</v>
      </c>
      <c r="C14" s="2502"/>
      <c r="D14" s="2502"/>
      <c r="E14" s="2502"/>
      <c r="F14" s="2502"/>
      <c r="G14" s="2502"/>
      <c r="H14" s="2502"/>
      <c r="I14" s="2502"/>
      <c r="J14" s="2502"/>
      <c r="K14" s="250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2" t="s">
        <v>2119</v>
      </c>
      <c r="C17" s="2502"/>
      <c r="D17" s="2502"/>
      <c r="E17" s="2502"/>
      <c r="F17" s="2502"/>
      <c r="G17" s="2502"/>
      <c r="H17" s="2502"/>
      <c r="I17" s="2502"/>
      <c r="J17" s="2502"/>
      <c r="K17" s="2502"/>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06" t="s">
        <v>2120</v>
      </c>
      <c r="C20" s="2506"/>
      <c r="D20" s="2502"/>
      <c r="E20" s="2502"/>
      <c r="F20" s="2502"/>
      <c r="G20" s="2502"/>
      <c r="H20" s="2502"/>
      <c r="I20" s="2502"/>
      <c r="J20" s="2502"/>
      <c r="K20" s="250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2" t="s">
        <v>2121</v>
      </c>
      <c r="C23" s="2502"/>
      <c r="D23" s="2502"/>
      <c r="E23" s="2502"/>
      <c r="F23" s="2502"/>
      <c r="G23" s="2502"/>
      <c r="H23" s="2502"/>
      <c r="I23" s="2502"/>
      <c r="J23" s="2502"/>
      <c r="K23" s="250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2" t="s">
        <v>2122</v>
      </c>
      <c r="C26" s="2502"/>
      <c r="D26" s="2502"/>
      <c r="E26" s="2502"/>
      <c r="F26" s="2502"/>
      <c r="G26" s="2502"/>
      <c r="H26" s="2502"/>
      <c r="I26" s="2502"/>
      <c r="J26" s="2502"/>
      <c r="K26" s="250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1" t="s">
        <v>2123</v>
      </c>
      <c r="C29" s="2501"/>
      <c r="D29" s="2502"/>
      <c r="E29" s="2502"/>
      <c r="F29" s="2502"/>
      <c r="G29" s="2502"/>
      <c r="H29" s="2502"/>
      <c r="I29" s="2502"/>
      <c r="J29" s="2502"/>
      <c r="K29" s="250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501" t="s">
        <v>2124</v>
      </c>
      <c r="C32" s="2501"/>
      <c r="D32" s="2502"/>
      <c r="E32" s="2502"/>
      <c r="F32" s="2502"/>
      <c r="G32" s="2502"/>
      <c r="H32" s="2502"/>
      <c r="I32" s="2502"/>
      <c r="J32" s="2502"/>
      <c r="K32" s="250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1845</v>
      </c>
      <c r="C38" s="1420"/>
    </row>
    <row r="39" spans="1:13" ht="9.6" customHeight="1" x14ac:dyDescent="0.2">
      <c r="B39" s="1300" t="s">
        <v>1348</v>
      </c>
      <c r="C39" s="1300"/>
      <c r="M39" s="1421"/>
    </row>
    <row r="40" spans="1:13" ht="12.6" customHeight="1" x14ac:dyDescent="0.2">
      <c r="B40" s="1420" t="s">
        <v>1846</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45&amp;R&amp;8Page 45</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N17" sqref="N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Knox Warren SpEd District</v>
      </c>
      <c r="C1" s="2480"/>
      <c r="D1" s="2480"/>
      <c r="E1" s="2480"/>
      <c r="F1" s="2480"/>
      <c r="G1" s="2480"/>
      <c r="H1" s="2480"/>
      <c r="I1" s="2480"/>
      <c r="J1" s="2480"/>
      <c r="K1" s="2480"/>
      <c r="L1" s="1374"/>
      <c r="M1" s="1374"/>
    </row>
    <row r="2" spans="1:13" ht="12" customHeight="1" x14ac:dyDescent="0.2">
      <c r="B2" s="2482">
        <f>'Single Audit Cover'!E7</f>
        <v>33048801060</v>
      </c>
      <c r="C2" s="2482"/>
      <c r="D2" s="2482"/>
      <c r="E2" s="2482"/>
      <c r="F2" s="2482"/>
      <c r="G2" s="2482"/>
      <c r="H2" s="2482"/>
      <c r="I2" s="2482"/>
      <c r="J2" s="2482"/>
      <c r="K2" s="2482"/>
      <c r="L2" s="1375"/>
      <c r="M2" s="1376"/>
    </row>
    <row r="3" spans="1:13" ht="10.35" customHeight="1" x14ac:dyDescent="0.2">
      <c r="B3" s="2503" t="s">
        <v>1347</v>
      </c>
      <c r="C3" s="2503"/>
      <c r="D3" s="2503"/>
      <c r="E3" s="2503"/>
      <c r="F3" s="2503"/>
      <c r="G3" s="2503"/>
      <c r="H3" s="2503"/>
      <c r="I3" s="2503"/>
      <c r="J3" s="2503"/>
      <c r="K3" s="2503"/>
      <c r="L3" s="1962"/>
      <c r="M3" s="1962"/>
    </row>
    <row r="4" spans="1:13" ht="14.25" customHeight="1" x14ac:dyDescent="0.2">
      <c r="B4" s="2504" t="str">
        <f>'Single Audit Cover'!A4</f>
        <v>Year Ending June 30, 2018</v>
      </c>
      <c r="C4" s="2504"/>
      <c r="D4" s="2504"/>
      <c r="E4" s="2504"/>
      <c r="F4" s="2504"/>
      <c r="G4" s="2504"/>
      <c r="H4" s="2504"/>
      <c r="I4" s="2504"/>
      <c r="J4" s="2504"/>
      <c r="K4" s="250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4" t="s">
        <v>1363</v>
      </c>
      <c r="C7" s="2504"/>
      <c r="D7" s="2505"/>
      <c r="E7" s="2505"/>
      <c r="F7" s="2505"/>
      <c r="G7" s="2505"/>
      <c r="H7" s="2505"/>
      <c r="I7" s="2505"/>
      <c r="J7" s="2505"/>
      <c r="K7" s="250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1948</v>
      </c>
      <c r="D10" s="1386">
        <v>2</v>
      </c>
      <c r="E10" s="322"/>
      <c r="F10" s="1387" t="s">
        <v>1362</v>
      </c>
      <c r="G10" s="1388" t="s">
        <v>2074</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2" t="s">
        <v>2127</v>
      </c>
      <c r="C14" s="2502"/>
      <c r="D14" s="2502"/>
      <c r="E14" s="2502"/>
      <c r="F14" s="2502"/>
      <c r="G14" s="2502"/>
      <c r="H14" s="2502"/>
      <c r="I14" s="2502"/>
      <c r="J14" s="2502"/>
      <c r="K14" s="250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78.75" customHeight="1" x14ac:dyDescent="0.2">
      <c r="B17" s="2502" t="s">
        <v>2142</v>
      </c>
      <c r="C17" s="2502"/>
      <c r="D17" s="2502"/>
      <c r="E17" s="2502"/>
      <c r="F17" s="2502"/>
      <c r="G17" s="2502"/>
      <c r="H17" s="2502"/>
      <c r="I17" s="2502"/>
      <c r="J17" s="2502"/>
      <c r="K17" s="2502"/>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06" t="s">
        <v>2129</v>
      </c>
      <c r="C20" s="2506"/>
      <c r="D20" s="2502"/>
      <c r="E20" s="2502"/>
      <c r="F20" s="2502"/>
      <c r="G20" s="2502"/>
      <c r="H20" s="2502"/>
      <c r="I20" s="2502"/>
      <c r="J20" s="2502"/>
      <c r="K20" s="250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2" t="s">
        <v>2128</v>
      </c>
      <c r="C23" s="2502"/>
      <c r="D23" s="2502"/>
      <c r="E23" s="2502"/>
      <c r="F23" s="2502"/>
      <c r="G23" s="2502"/>
      <c r="H23" s="2502"/>
      <c r="I23" s="2502"/>
      <c r="J23" s="2502"/>
      <c r="K23" s="250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2" t="s">
        <v>2130</v>
      </c>
      <c r="C26" s="2502"/>
      <c r="D26" s="2502"/>
      <c r="E26" s="2502"/>
      <c r="F26" s="2502"/>
      <c r="G26" s="2502"/>
      <c r="H26" s="2502"/>
      <c r="I26" s="2502"/>
      <c r="J26" s="2502"/>
      <c r="K26" s="250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81" customHeight="1" x14ac:dyDescent="0.2">
      <c r="B29" s="2501" t="s">
        <v>2141</v>
      </c>
      <c r="C29" s="2501"/>
      <c r="D29" s="2502"/>
      <c r="E29" s="2502"/>
      <c r="F29" s="2502"/>
      <c r="G29" s="2502"/>
      <c r="H29" s="2502"/>
      <c r="I29" s="2502"/>
      <c r="J29" s="2502"/>
      <c r="K29" s="250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501" t="s">
        <v>2131</v>
      </c>
      <c r="C32" s="2501"/>
      <c r="D32" s="2502"/>
      <c r="E32" s="2502"/>
      <c r="F32" s="2502"/>
      <c r="G32" s="2502"/>
      <c r="H32" s="2502"/>
      <c r="I32" s="2502"/>
      <c r="J32" s="2502"/>
      <c r="K32" s="250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1845</v>
      </c>
      <c r="C38" s="1420"/>
    </row>
    <row r="39" spans="1:13" ht="9.6" customHeight="1" x14ac:dyDescent="0.2">
      <c r="B39" s="1300" t="s">
        <v>1348</v>
      </c>
      <c r="C39" s="1300"/>
      <c r="M39" s="1421"/>
    </row>
    <row r="40" spans="1:13" ht="12.6" customHeight="1" x14ac:dyDescent="0.2">
      <c r="B40" s="1420" t="s">
        <v>1846</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46&amp;R&amp;8Page 46</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5" zoomScale="110" zoomScaleNormal="110" workbookViewId="0">
      <selection activeCell="N32" sqref="N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Knox Warren SpEd District</v>
      </c>
      <c r="C1" s="2480"/>
      <c r="D1" s="2480"/>
      <c r="E1" s="2480"/>
      <c r="F1" s="2480"/>
      <c r="G1" s="2480"/>
      <c r="H1" s="2480"/>
      <c r="I1" s="2480"/>
      <c r="J1" s="2480"/>
      <c r="K1" s="2480"/>
      <c r="L1" s="1374"/>
      <c r="M1" s="1374"/>
    </row>
    <row r="2" spans="1:13" ht="12" customHeight="1" x14ac:dyDescent="0.2">
      <c r="B2" s="2482">
        <f>'Single Audit Cover'!E7</f>
        <v>33048801060</v>
      </c>
      <c r="C2" s="2482"/>
      <c r="D2" s="2482"/>
      <c r="E2" s="2482"/>
      <c r="F2" s="2482"/>
      <c r="G2" s="2482"/>
      <c r="H2" s="2482"/>
      <c r="I2" s="2482"/>
      <c r="J2" s="2482"/>
      <c r="K2" s="2482"/>
      <c r="L2" s="1375"/>
      <c r="M2" s="1376"/>
    </row>
    <row r="3" spans="1:13" ht="10.35" customHeight="1" x14ac:dyDescent="0.2">
      <c r="B3" s="2503" t="s">
        <v>1347</v>
      </c>
      <c r="C3" s="2503"/>
      <c r="D3" s="2503"/>
      <c r="E3" s="2503"/>
      <c r="F3" s="2503"/>
      <c r="G3" s="2503"/>
      <c r="H3" s="2503"/>
      <c r="I3" s="2503"/>
      <c r="J3" s="2503"/>
      <c r="K3" s="2503"/>
      <c r="L3" s="1962"/>
      <c r="M3" s="1962"/>
    </row>
    <row r="4" spans="1:13" ht="14.25" customHeight="1" x14ac:dyDescent="0.2">
      <c r="B4" s="2504" t="str">
        <f>'Single Audit Cover'!A4</f>
        <v>Year Ending June 30, 2018</v>
      </c>
      <c r="C4" s="2504"/>
      <c r="D4" s="2504"/>
      <c r="E4" s="2504"/>
      <c r="F4" s="2504"/>
      <c r="G4" s="2504"/>
      <c r="H4" s="2504"/>
      <c r="I4" s="2504"/>
      <c r="J4" s="2504"/>
      <c r="K4" s="250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4" t="s">
        <v>1363</v>
      </c>
      <c r="C7" s="2504"/>
      <c r="D7" s="2505"/>
      <c r="E7" s="2505"/>
      <c r="F7" s="2505"/>
      <c r="G7" s="2505"/>
      <c r="H7" s="2505"/>
      <c r="I7" s="2505"/>
      <c r="J7" s="2505"/>
      <c r="K7" s="250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1948</v>
      </c>
      <c r="D10" s="1386">
        <v>3</v>
      </c>
      <c r="E10" s="322"/>
      <c r="F10" s="1387" t="s">
        <v>1362</v>
      </c>
      <c r="G10" s="1388" t="s">
        <v>2074</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52.5" customHeight="1" x14ac:dyDescent="0.2">
      <c r="B14" s="2502" t="s">
        <v>2125</v>
      </c>
      <c r="C14" s="2502"/>
      <c r="D14" s="2502"/>
      <c r="E14" s="2502"/>
      <c r="F14" s="2502"/>
      <c r="G14" s="2502"/>
      <c r="H14" s="2502"/>
      <c r="I14" s="2502"/>
      <c r="J14" s="2502"/>
      <c r="K14" s="250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70.5" customHeight="1" x14ac:dyDescent="0.2">
      <c r="B17" s="2502" t="s">
        <v>2126</v>
      </c>
      <c r="C17" s="2502"/>
      <c r="D17" s="2502"/>
      <c r="E17" s="2502"/>
      <c r="F17" s="2502"/>
      <c r="G17" s="2502"/>
      <c r="H17" s="2502"/>
      <c r="I17" s="2502"/>
      <c r="J17" s="2502"/>
      <c r="K17" s="2502"/>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06" t="s">
        <v>2143</v>
      </c>
      <c r="C20" s="2506"/>
      <c r="D20" s="2502"/>
      <c r="E20" s="2502"/>
      <c r="F20" s="2502"/>
      <c r="G20" s="2502"/>
      <c r="H20" s="2502"/>
      <c r="I20" s="2502"/>
      <c r="J20" s="2502"/>
      <c r="K20" s="250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2" t="s">
        <v>2137</v>
      </c>
      <c r="C23" s="2502"/>
      <c r="D23" s="2502"/>
      <c r="E23" s="2502"/>
      <c r="F23" s="2502"/>
      <c r="G23" s="2502"/>
      <c r="H23" s="2502"/>
      <c r="I23" s="2502"/>
      <c r="J23" s="2502"/>
      <c r="K23" s="250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2" t="s">
        <v>2144</v>
      </c>
      <c r="C26" s="2502"/>
      <c r="D26" s="2502"/>
      <c r="E26" s="2502"/>
      <c r="F26" s="2502"/>
      <c r="G26" s="2502"/>
      <c r="H26" s="2502"/>
      <c r="I26" s="2502"/>
      <c r="J26" s="2502"/>
      <c r="K26" s="250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1" t="s">
        <v>2138</v>
      </c>
      <c r="C29" s="2501"/>
      <c r="D29" s="2502"/>
      <c r="E29" s="2502"/>
      <c r="F29" s="2502"/>
      <c r="G29" s="2502"/>
      <c r="H29" s="2502"/>
      <c r="I29" s="2502"/>
      <c r="J29" s="2502"/>
      <c r="K29" s="250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52.5" customHeight="1" x14ac:dyDescent="0.2">
      <c r="B32" s="2501" t="s">
        <v>2139</v>
      </c>
      <c r="C32" s="2501"/>
      <c r="D32" s="2502"/>
      <c r="E32" s="2502"/>
      <c r="F32" s="2502"/>
      <c r="G32" s="2502"/>
      <c r="H32" s="2502"/>
      <c r="I32" s="2502"/>
      <c r="J32" s="2502"/>
      <c r="K32" s="250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1845</v>
      </c>
      <c r="C38" s="1420"/>
    </row>
    <row r="39" spans="1:13" ht="9.6" customHeight="1" x14ac:dyDescent="0.2">
      <c r="B39" s="1300" t="s">
        <v>1348</v>
      </c>
      <c r="C39" s="1300"/>
      <c r="M39" s="1421"/>
    </row>
    <row r="40" spans="1:13" ht="12.6" customHeight="1" x14ac:dyDescent="0.2">
      <c r="B40" s="1420" t="s">
        <v>1846</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47&amp;R&amp;8Page 47</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40" zoomScale="110" zoomScaleNormal="110" workbookViewId="0">
      <selection activeCell="B20" sqref="B20:K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12.42578125" style="317" customWidth="1"/>
    <col min="12" max="12" width="1.5703125" style="317" customWidth="1"/>
    <col min="13" max="13" width="3.42578125" style="317" customWidth="1"/>
    <col min="14" max="16384" width="9.140625" style="317"/>
  </cols>
  <sheetData>
    <row r="1" spans="1:12" ht="12.75" customHeight="1" x14ac:dyDescent="0.2">
      <c r="B1" s="2507" t="str">
        <f>'Single Audit Cover'!A7</f>
        <v>Knox Warren SpEd District</v>
      </c>
      <c r="C1" s="2507"/>
      <c r="D1" s="2507"/>
      <c r="E1" s="2507"/>
      <c r="F1" s="2507"/>
      <c r="G1" s="2507"/>
      <c r="H1" s="2507"/>
      <c r="I1" s="2507"/>
      <c r="J1" s="2507"/>
      <c r="K1" s="2507"/>
      <c r="L1" s="1465"/>
    </row>
    <row r="2" spans="1:12" ht="12.75" customHeight="1" x14ac:dyDescent="0.2">
      <c r="B2" s="2508">
        <f>'Single Audit Cover'!E7</f>
        <v>33048801060</v>
      </c>
      <c r="C2" s="2508"/>
      <c r="D2" s="2508"/>
      <c r="E2" s="2508"/>
      <c r="F2" s="2508"/>
      <c r="G2" s="2508"/>
      <c r="H2" s="2508"/>
      <c r="I2" s="2508"/>
      <c r="J2" s="2508"/>
      <c r="K2" s="2508"/>
      <c r="L2" s="1466"/>
    </row>
    <row r="3" spans="1:12" ht="12.75" customHeight="1" x14ac:dyDescent="0.2">
      <c r="B3" s="2503" t="s">
        <v>1347</v>
      </c>
      <c r="C3" s="2503"/>
      <c r="D3" s="2503"/>
      <c r="E3" s="2503"/>
      <c r="F3" s="2503"/>
      <c r="G3" s="2503"/>
      <c r="H3" s="2503"/>
      <c r="I3" s="2503"/>
      <c r="J3" s="2503"/>
      <c r="K3" s="2503"/>
      <c r="L3" s="1377"/>
    </row>
    <row r="4" spans="1:12" ht="12.75" customHeight="1" x14ac:dyDescent="0.2">
      <c r="B4" s="2503" t="str">
        <f>'Single Audit Cover'!A4</f>
        <v>Year Ending June 30, 2018</v>
      </c>
      <c r="C4" s="2503"/>
      <c r="D4" s="2503"/>
      <c r="E4" s="2503"/>
      <c r="F4" s="2503"/>
      <c r="G4" s="2503"/>
      <c r="H4" s="2503"/>
      <c r="I4" s="2503"/>
      <c r="J4" s="2503"/>
      <c r="K4" s="2503"/>
      <c r="L4" s="1377"/>
    </row>
    <row r="5" spans="1:12" ht="5.25" customHeight="1" x14ac:dyDescent="0.2">
      <c r="B5" s="1260" t="s">
        <v>1231</v>
      </c>
      <c r="C5" s="1260"/>
      <c r="L5" s="322"/>
    </row>
    <row r="6" spans="1:12" ht="30.75" customHeight="1" x14ac:dyDescent="0.2">
      <c r="A6" s="322"/>
      <c r="B6" s="2509" t="s">
        <v>1375</v>
      </c>
      <c r="C6" s="2509"/>
      <c r="D6" s="2509"/>
      <c r="E6" s="2509"/>
      <c r="F6" s="2509"/>
      <c r="G6" s="2509"/>
      <c r="H6" s="2509"/>
      <c r="I6" s="2509"/>
      <c r="J6" s="2509"/>
      <c r="K6" s="2509"/>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1948</v>
      </c>
      <c r="D8" s="1468">
        <v>4</v>
      </c>
      <c r="E8" s="322"/>
      <c r="F8" s="1384" t="s">
        <v>1362</v>
      </c>
      <c r="G8" s="1469" t="s">
        <v>2074</v>
      </c>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7" t="s">
        <v>2134</v>
      </c>
      <c r="G12" s="2487"/>
      <c r="H12" s="2487"/>
      <c r="I12" s="2487"/>
      <c r="J12" s="2487"/>
      <c r="K12" s="248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0" t="s">
        <v>2136</v>
      </c>
      <c r="E14" s="2510"/>
      <c r="F14" s="2510"/>
      <c r="H14" s="1475" t="s">
        <v>1370</v>
      </c>
      <c r="I14" s="2511" t="s">
        <v>2135</v>
      </c>
      <c r="J14" s="2511"/>
      <c r="K14" s="251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1" t="s">
        <v>2132</v>
      </c>
      <c r="E16" s="2511"/>
      <c r="F16" s="2511"/>
      <c r="G16" s="2511"/>
      <c r="H16" s="2511"/>
      <c r="I16" s="2511"/>
      <c r="J16" s="2511"/>
      <c r="K16" s="2511"/>
      <c r="L16" s="322"/>
    </row>
    <row r="17" spans="2:12" ht="13.5" customHeight="1" x14ac:dyDescent="0.2">
      <c r="B17" s="1387" t="s">
        <v>1368</v>
      </c>
      <c r="C17" s="1387"/>
      <c r="D17" s="2512" t="s">
        <v>2133</v>
      </c>
      <c r="E17" s="2512"/>
      <c r="F17" s="2512"/>
      <c r="G17" s="2512"/>
      <c r="H17" s="2512"/>
      <c r="I17" s="2512"/>
      <c r="J17" s="2512"/>
      <c r="K17" s="251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46.5" customHeight="1" x14ac:dyDescent="0.2">
      <c r="B20" s="2502" t="s">
        <v>2127</v>
      </c>
      <c r="C20" s="2502"/>
      <c r="D20" s="2502"/>
      <c r="E20" s="2502"/>
      <c r="F20" s="2502"/>
      <c r="G20" s="2502"/>
      <c r="H20" s="2502"/>
      <c r="I20" s="2502"/>
      <c r="J20" s="2502"/>
      <c r="K20" s="250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82.5" customHeight="1" x14ac:dyDescent="0.2">
      <c r="B23" s="2502" t="s">
        <v>2145</v>
      </c>
      <c r="C23" s="2502"/>
      <c r="D23" s="2502"/>
      <c r="E23" s="2502"/>
      <c r="F23" s="2502"/>
      <c r="G23" s="2502"/>
      <c r="H23" s="2502"/>
      <c r="I23" s="2502"/>
      <c r="J23" s="2502"/>
      <c r="K23" s="250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19.5" customHeight="1" x14ac:dyDescent="0.2">
      <c r="B26" s="2502" t="s">
        <v>2110</v>
      </c>
      <c r="C26" s="2502"/>
      <c r="D26" s="2502"/>
      <c r="E26" s="2502"/>
      <c r="F26" s="2502"/>
      <c r="G26" s="2502"/>
      <c r="H26" s="2502"/>
      <c r="I26" s="2502"/>
      <c r="J26" s="2502"/>
      <c r="K26" s="250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502" t="s">
        <v>2129</v>
      </c>
      <c r="C29" s="2502"/>
      <c r="D29" s="2502"/>
      <c r="E29" s="2502"/>
      <c r="F29" s="2502"/>
      <c r="G29" s="2502"/>
      <c r="H29" s="2502"/>
      <c r="I29" s="2502"/>
      <c r="J29" s="2502"/>
      <c r="K29" s="250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40.5" customHeight="1" x14ac:dyDescent="0.2">
      <c r="B32" s="2502" t="s">
        <v>2128</v>
      </c>
      <c r="C32" s="2502"/>
      <c r="D32" s="2502"/>
      <c r="E32" s="2502"/>
      <c r="F32" s="2502"/>
      <c r="G32" s="2502"/>
      <c r="H32" s="2502"/>
      <c r="I32" s="2502"/>
      <c r="J32" s="2502"/>
      <c r="K32" s="250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40.5" customHeight="1" x14ac:dyDescent="0.2">
      <c r="B35" s="2502" t="s">
        <v>2130</v>
      </c>
      <c r="C35" s="2502"/>
      <c r="D35" s="2502"/>
      <c r="E35" s="2502"/>
      <c r="F35" s="2502"/>
      <c r="G35" s="2502"/>
      <c r="H35" s="2502"/>
      <c r="I35" s="2502"/>
      <c r="J35" s="2502"/>
      <c r="K35" s="250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66.75" customHeight="1" x14ac:dyDescent="0.2">
      <c r="B38" s="2502" t="s">
        <v>2141</v>
      </c>
      <c r="C38" s="2502"/>
      <c r="D38" s="2502"/>
      <c r="E38" s="2502"/>
      <c r="F38" s="2502"/>
      <c r="G38" s="2502"/>
      <c r="H38" s="2502"/>
      <c r="I38" s="2502"/>
      <c r="J38" s="2502"/>
      <c r="K38" s="250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0" customHeight="1" x14ac:dyDescent="0.2">
      <c r="B41" s="2502" t="s">
        <v>2131</v>
      </c>
      <c r="C41" s="2502"/>
      <c r="D41" s="2502"/>
      <c r="E41" s="2502"/>
      <c r="F41" s="2502"/>
      <c r="G41" s="2502"/>
      <c r="H41" s="2502"/>
      <c r="I41" s="2502"/>
      <c r="J41" s="2502"/>
      <c r="K41" s="250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34" bottom="0.27" header="0.26" footer="0.18"/>
  <pageSetup scale="92" firstPageNumber="42" orientation="portrait" useFirstPageNumber="1" r:id="rId1"/>
  <headerFooter alignWithMargins="0">
    <oddHeader>&amp;L&amp;8Page 48&amp;R&amp;8Page 48</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0" t="str">
        <f>'Single Audit Cover'!A7</f>
        <v>Knox Warren SpEd District</v>
      </c>
      <c r="C1" s="2480"/>
      <c r="D1" s="2480"/>
      <c r="E1" s="1491"/>
    </row>
    <row r="2" spans="2:5" s="1282" customFormat="1" ht="12.75" customHeight="1" x14ac:dyDescent="0.2">
      <c r="B2" s="2482">
        <f>'Single Audit Cover'!E7</f>
        <v>33048801060</v>
      </c>
      <c r="C2" s="2482"/>
      <c r="D2" s="2482"/>
      <c r="E2" s="1492"/>
    </row>
    <row r="3" spans="2:5" ht="12.75" customHeight="1" x14ac:dyDescent="0.2">
      <c r="B3" s="2503" t="s">
        <v>1865</v>
      </c>
      <c r="C3" s="2503"/>
      <c r="D3" s="2503"/>
      <c r="E3" s="1274"/>
    </row>
    <row r="4" spans="2:5" s="1282" customFormat="1" ht="12.75" customHeight="1" x14ac:dyDescent="0.2">
      <c r="B4" s="2513" t="str">
        <f>'Single Audit Cover'!A4</f>
        <v>Year Ending June 30, 2018</v>
      </c>
      <c r="C4" s="2513"/>
      <c r="D4" s="2513"/>
      <c r="E4" s="1493"/>
    </row>
    <row r="5" spans="2:5" s="1282" customFormat="1" ht="40.15" customHeight="1" x14ac:dyDescent="0.2">
      <c r="B5" s="1494" t="s">
        <v>1866</v>
      </c>
      <c r="C5" s="328"/>
      <c r="D5" s="328"/>
      <c r="E5" s="328"/>
    </row>
    <row r="6" spans="2:5" s="1282" customFormat="1" ht="13.5" customHeight="1" x14ac:dyDescent="0.2">
      <c r="B6" s="1495" t="s">
        <v>1382</v>
      </c>
      <c r="C6" s="1495" t="s">
        <v>1381</v>
      </c>
      <c r="D6" s="1495" t="s">
        <v>1867</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1966" t="s">
        <v>2113</v>
      </c>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1868</v>
      </c>
    </row>
    <row r="46" spans="2:5" ht="12.2" customHeight="1" x14ac:dyDescent="0.2">
      <c r="B46" s="1505" t="s">
        <v>1869</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49&amp;R&amp;8Page 49</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1" t="s">
        <v>404</v>
      </c>
      <c r="B1" s="2111"/>
      <c r="C1" s="2111"/>
      <c r="D1" s="2111"/>
      <c r="E1" s="2111"/>
      <c r="F1" s="2111"/>
      <c r="G1" s="2111"/>
      <c r="H1" s="2111"/>
      <c r="I1" s="2111"/>
      <c r="J1" s="2111"/>
      <c r="K1" s="2111"/>
      <c r="L1" s="2111"/>
      <c r="M1" s="211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21" t="str">
        <f>IF(SUM(J10)&lt;=0.0999999,"","Enter the Tax Rates by moving the decimal two places to the left.")</f>
        <v/>
      </c>
      <c r="E11" s="2122"/>
      <c r="F11" s="2122"/>
      <c r="G11" s="2122"/>
      <c r="H11" s="2122"/>
      <c r="I11" s="2122"/>
      <c r="J11" s="212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4576877</v>
      </c>
      <c r="E16" s="356"/>
      <c r="F16" s="1755">
        <f>SUM('Acct Summary 7-8'!C17,'Acct Summary 7-8'!D17,'Acct Summary 7-8'!F17)</f>
        <v>3858340</v>
      </c>
      <c r="G16" s="356"/>
      <c r="H16" s="1755">
        <f>SUM(D16-F16)</f>
        <v>718537</v>
      </c>
      <c r="I16" s="222"/>
      <c r="J16" s="1755">
        <f>SUM('Acct Summary 7-8'!C81,'Acct Summary 7-8'!D81,'Acct Summary 7-8'!F81,'Acct Summary 7-8'!I81)</f>
        <v>718537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2"/>
      <c r="C54" s="2113"/>
      <c r="D54" s="2113"/>
      <c r="E54" s="2113"/>
      <c r="F54" s="2113"/>
      <c r="G54" s="2113"/>
      <c r="H54" s="2113"/>
      <c r="I54" s="2113"/>
      <c r="J54" s="2113"/>
      <c r="K54" s="2113"/>
      <c r="L54" s="2114"/>
      <c r="M54" s="380"/>
    </row>
    <row r="55" spans="1:13" ht="12.75" customHeight="1" x14ac:dyDescent="0.2">
      <c r="B55" s="2115"/>
      <c r="C55" s="2116"/>
      <c r="D55" s="2116"/>
      <c r="E55" s="2116"/>
      <c r="F55" s="2116"/>
      <c r="G55" s="2116"/>
      <c r="H55" s="2116"/>
      <c r="I55" s="2116"/>
      <c r="J55" s="2116"/>
      <c r="K55" s="2116"/>
      <c r="L55" s="2117"/>
      <c r="M55" s="380"/>
    </row>
    <row r="56" spans="1:13" ht="12.75" customHeight="1" x14ac:dyDescent="0.2">
      <c r="B56" s="2115"/>
      <c r="C56" s="2116"/>
      <c r="D56" s="2116"/>
      <c r="E56" s="2116"/>
      <c r="F56" s="2116"/>
      <c r="G56" s="2116"/>
      <c r="H56" s="2116"/>
      <c r="I56" s="2116"/>
      <c r="J56" s="2116"/>
      <c r="K56" s="2116"/>
      <c r="L56" s="2117"/>
      <c r="M56" s="222"/>
    </row>
    <row r="57" spans="1:13" ht="12.75" customHeight="1" x14ac:dyDescent="0.2">
      <c r="B57" s="2115"/>
      <c r="C57" s="2116"/>
      <c r="D57" s="2116"/>
      <c r="E57" s="2116"/>
      <c r="F57" s="2116"/>
      <c r="G57" s="2116"/>
      <c r="H57" s="2116"/>
      <c r="I57" s="2116"/>
      <c r="J57" s="2116"/>
      <c r="K57" s="2116"/>
      <c r="L57" s="2117"/>
      <c r="M57" s="222"/>
    </row>
    <row r="58" spans="1:13" x14ac:dyDescent="0.2">
      <c r="B58" s="2118"/>
      <c r="C58" s="2119"/>
      <c r="D58" s="2119"/>
      <c r="E58" s="2119"/>
      <c r="F58" s="2119"/>
      <c r="G58" s="2119"/>
      <c r="H58" s="2119"/>
      <c r="I58" s="2119"/>
      <c r="J58" s="2119"/>
      <c r="K58" s="2119"/>
      <c r="L58" s="212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3"/>
      <c r="D61" s="212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6"/>
      <c r="B1" s="2127"/>
      <c r="C1" s="2127"/>
      <c r="D1" s="384"/>
      <c r="E1" s="384"/>
      <c r="F1" s="384"/>
      <c r="G1" s="384"/>
      <c r="H1" s="384"/>
      <c r="I1" s="384"/>
      <c r="J1" s="384"/>
      <c r="K1" s="384"/>
      <c r="L1" s="384"/>
      <c r="M1" s="384"/>
      <c r="N1" s="384"/>
      <c r="O1" s="2126"/>
      <c r="P1" s="2127"/>
      <c r="Q1" s="2127"/>
    </row>
    <row r="2" spans="1:18" ht="15" x14ac:dyDescent="0.2">
      <c r="A2" s="2130" t="s">
        <v>577</v>
      </c>
      <c r="B2" s="2130"/>
      <c r="C2" s="2130"/>
      <c r="D2" s="2130"/>
      <c r="E2" s="2130"/>
      <c r="F2" s="2130"/>
      <c r="G2" s="2130"/>
      <c r="H2" s="2130"/>
      <c r="I2" s="2130"/>
      <c r="J2" s="2130"/>
      <c r="K2" s="2130"/>
      <c r="L2" s="2130"/>
      <c r="M2" s="2130"/>
      <c r="N2" s="2130"/>
      <c r="O2" s="2130"/>
      <c r="P2" s="2130"/>
      <c r="Q2" s="2130"/>
      <c r="R2" s="2130"/>
    </row>
    <row r="3" spans="1:18" ht="12.75" x14ac:dyDescent="0.2">
      <c r="A3" s="2131" t="s">
        <v>1480</v>
      </c>
      <c r="B3" s="2131"/>
      <c r="C3" s="2131"/>
      <c r="D3" s="2131"/>
      <c r="E3" s="2131"/>
      <c r="F3" s="2131"/>
      <c r="G3" s="2131"/>
      <c r="H3" s="2131"/>
      <c r="I3" s="2131"/>
      <c r="J3" s="2131"/>
      <c r="K3" s="2131"/>
      <c r="L3" s="2131"/>
      <c r="M3" s="2131"/>
      <c r="N3" s="2131"/>
      <c r="O3" s="2131"/>
      <c r="P3" s="2131"/>
      <c r="Q3" s="2131"/>
      <c r="R3" s="2131"/>
    </row>
    <row r="4" spans="1:18" x14ac:dyDescent="0.2">
      <c r="A4" s="2132" t="s">
        <v>1635</v>
      </c>
      <c r="B4" s="2132"/>
      <c r="C4" s="2132"/>
      <c r="D4" s="2132"/>
      <c r="E4" s="2132"/>
      <c r="F4" s="2132"/>
      <c r="G4" s="2132"/>
      <c r="H4" s="2132"/>
      <c r="I4" s="2132"/>
      <c r="J4" s="2132"/>
      <c r="K4" s="2132"/>
      <c r="L4" s="2132"/>
      <c r="M4" s="2132"/>
      <c r="N4" s="2132"/>
      <c r="O4" s="2132"/>
      <c r="P4" s="2132"/>
      <c r="Q4" s="2132"/>
      <c r="R4" s="213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Knox Warren SpEd District</v>
      </c>
      <c r="E7" s="391"/>
      <c r="G7" s="252"/>
      <c r="H7" s="387"/>
      <c r="I7" s="387"/>
      <c r="J7" s="387"/>
      <c r="K7" s="387"/>
      <c r="L7" s="329"/>
      <c r="M7" s="329"/>
      <c r="N7" s="329"/>
      <c r="O7" s="329"/>
      <c r="P7" s="329"/>
    </row>
    <row r="8" spans="1:18" ht="12.75" x14ac:dyDescent="0.2">
      <c r="A8" s="329"/>
      <c r="B8" s="329"/>
      <c r="C8" s="389" t="s">
        <v>1187</v>
      </c>
      <c r="D8" s="392">
        <f>COVER!A13</f>
        <v>33048801060</v>
      </c>
      <c r="E8" s="393"/>
      <c r="G8" s="329"/>
      <c r="H8" s="329"/>
      <c r="I8" s="329"/>
      <c r="J8" s="329"/>
      <c r="K8" s="329"/>
      <c r="L8" s="329"/>
      <c r="M8" s="329"/>
      <c r="N8" s="329"/>
      <c r="O8" s="329"/>
      <c r="P8" s="329"/>
    </row>
    <row r="9" spans="1:18" ht="12.75" x14ac:dyDescent="0.2">
      <c r="A9" s="329"/>
      <c r="B9" s="329"/>
      <c r="C9" s="389" t="s">
        <v>737</v>
      </c>
      <c r="D9" s="394" t="str">
        <f>COVER!A15</f>
        <v>Knox and Warren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718537</v>
      </c>
      <c r="I12" s="404"/>
      <c r="J12" s="404"/>
      <c r="K12" s="405">
        <f>TRUNC((H12/H13*100000),5)/100000</f>
        <v>0.15699285770000002</v>
      </c>
      <c r="L12" s="406"/>
      <c r="M12" s="360" t="s">
        <v>1206</v>
      </c>
      <c r="N12" s="360"/>
      <c r="O12" s="407">
        <v>0.35</v>
      </c>
      <c r="P12" s="218"/>
      <c r="Q12" s="218"/>
    </row>
    <row r="13" spans="1:18" s="408" customFormat="1" ht="12.75" x14ac:dyDescent="0.2">
      <c r="A13" s="218"/>
      <c r="B13" s="401"/>
      <c r="C13" s="2128" t="s">
        <v>1391</v>
      </c>
      <c r="D13" s="2129"/>
      <c r="E13" s="218"/>
      <c r="F13" s="409" t="s">
        <v>826</v>
      </c>
      <c r="G13" s="402"/>
      <c r="H13" s="403">
        <f>SUM('Acct Summary 7-8'!C8+'Acct Summary 7-8'!D8+'Acct Summary 7-8'!F8+'Acct Summary 7-8'!I8)+H14</f>
        <v>4576877</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3858340</v>
      </c>
      <c r="I17" s="404"/>
      <c r="J17" s="416"/>
      <c r="K17" s="405">
        <f>TRUNC((H17/H18*100000),5)/100000</f>
        <v>0.84300714219999995</v>
      </c>
      <c r="L17" s="406"/>
      <c r="M17" s="417" t="s">
        <v>1233</v>
      </c>
      <c r="O17" s="418" t="str">
        <f>IF(AND(O16="2", J20 &gt; 2),"1",IF(AND(O16 = "1", J20 &gt; 2),"2",IF(AND(O16="1", J20 &gt;1),"1","0")))</f>
        <v>0</v>
      </c>
      <c r="P17" s="218"/>
    </row>
    <row r="18" spans="1:18" s="408" customFormat="1" ht="11.25" x14ac:dyDescent="0.2">
      <c r="A18" s="218"/>
      <c r="B18" s="401"/>
      <c r="C18" s="2128" t="s">
        <v>1384</v>
      </c>
      <c r="D18" s="2129"/>
      <c r="E18" s="218"/>
      <c r="F18" s="419" t="s">
        <v>827</v>
      </c>
      <c r="G18" s="402"/>
      <c r="H18" s="403">
        <f>SUM('Acct Summary 7-8'!C8+'Acct Summary 7-8'!D8+'Acct Summary 7-8'!F8+'Acct Summary 7-8'!I8)+H19</f>
        <v>4576877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5" t="s">
        <v>1479</v>
      </c>
      <c r="D24" s="2125"/>
      <c r="E24" s="218"/>
      <c r="F24" s="218" t="s">
        <v>465</v>
      </c>
      <c r="G24" s="402"/>
      <c r="H24" s="403">
        <f>SUM('Assets-Liab 5-6'!C4+'Assets-Liab 5-6'!D4+'Assets-Liab 5-6'!F4+'Assets-Liab 5-6'!I4+'Assets-Liab 5-6'!C5+'Assets-Liab 5-6'!D5+'Assets-Liab 5-6'!F5+'Assets-Liab 5-6'!I5)</f>
        <v>1626710</v>
      </c>
      <c r="I24" s="422"/>
      <c r="J24" s="422"/>
      <c r="K24" s="423">
        <f>TRUNC(((H24/H25*100000)/100000),2)</f>
        <v>151.77000000000001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10717.61111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8" zoomScaleNormal="98" workbookViewId="0">
      <pane ySplit="2" topLeftCell="A18" activePane="bottomLeft" state="frozen"/>
      <selection activeCell="A47" sqref="A47"/>
      <selection pane="bottomLeft" activeCell="C32" sqref="C3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5" t="s">
        <v>1030</v>
      </c>
      <c r="B3" s="2136"/>
      <c r="C3" s="1581"/>
      <c r="D3" s="1582"/>
      <c r="E3" s="1582"/>
      <c r="F3" s="1582"/>
      <c r="G3" s="1582"/>
      <c r="H3" s="1582"/>
      <c r="I3" s="1582"/>
      <c r="J3" s="1582"/>
      <c r="K3" s="1582"/>
      <c r="L3" s="1582"/>
      <c r="M3" s="1583"/>
      <c r="N3" s="1584"/>
    </row>
    <row r="4" spans="1:14" ht="13.5" customHeight="1" x14ac:dyDescent="0.2">
      <c r="A4" s="463" t="s">
        <v>1749</v>
      </c>
      <c r="B4" s="464"/>
      <c r="C4" s="465">
        <v>1626710</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468573</v>
      </c>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2095283</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37" t="s">
        <v>149</v>
      </c>
      <c r="B14" s="213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32793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32793</v>
      </c>
      <c r="N23" s="1710">
        <f>SUM(N21:N22)</f>
        <v>0</v>
      </c>
    </row>
    <row r="24" spans="1:14" ht="18" customHeight="1" thickTop="1" x14ac:dyDescent="0.2">
      <c r="A24" s="2139" t="s">
        <v>619</v>
      </c>
      <c r="B24" s="214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4386</v>
      </c>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338818</v>
      </c>
      <c r="D30" s="474"/>
      <c r="E30" s="467"/>
      <c r="F30" s="467"/>
      <c r="G30" s="467"/>
      <c r="H30" s="467"/>
      <c r="I30" s="467"/>
      <c r="J30" s="467"/>
      <c r="K30" s="478"/>
      <c r="L30" s="468"/>
      <c r="M30" s="468"/>
      <c r="N30" s="468"/>
    </row>
    <row r="31" spans="1:14" ht="13.5" customHeight="1" x14ac:dyDescent="0.2">
      <c r="A31" s="473" t="s">
        <v>672</v>
      </c>
      <c r="B31" s="470">
        <v>480</v>
      </c>
      <c r="C31" s="466">
        <v>24696</v>
      </c>
      <c r="D31" s="467"/>
      <c r="E31" s="467"/>
      <c r="F31" s="466"/>
      <c r="G31" s="467"/>
      <c r="H31" s="467"/>
      <c r="I31" s="467"/>
      <c r="J31" s="467"/>
      <c r="K31" s="467"/>
      <c r="L31" s="468"/>
      <c r="M31" s="468"/>
      <c r="N31" s="468"/>
    </row>
    <row r="32" spans="1:14" ht="13.5" customHeight="1" x14ac:dyDescent="0.2">
      <c r="A32" s="490" t="s">
        <v>673</v>
      </c>
      <c r="B32" s="491">
        <v>490</v>
      </c>
      <c r="C32" s="492">
        <v>1008846</v>
      </c>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1376746</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41" t="s">
        <v>550</v>
      </c>
      <c r="B35" s="214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v>214325</v>
      </c>
      <c r="D38" s="466"/>
      <c r="E38" s="466"/>
      <c r="F38" s="466"/>
      <c r="G38" s="466"/>
      <c r="H38" s="466"/>
      <c r="I38" s="466"/>
      <c r="J38" s="467"/>
      <c r="K38" s="466"/>
      <c r="L38" s="481"/>
      <c r="M38" s="497"/>
      <c r="N38" s="497"/>
    </row>
    <row r="39" spans="1:14" s="329" customFormat="1" ht="13.5" customHeight="1" x14ac:dyDescent="0.2">
      <c r="A39" s="496" t="s">
        <v>360</v>
      </c>
      <c r="B39" s="483">
        <v>730</v>
      </c>
      <c r="C39" s="466">
        <f>'Acct Summary 7-8'!C81-C38</f>
        <v>504212</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32793</v>
      </c>
      <c r="N40" s="497"/>
    </row>
    <row r="41" spans="1:14" ht="13.5" customHeight="1" thickBot="1" x14ac:dyDescent="0.25">
      <c r="A41" s="1758" t="s">
        <v>676</v>
      </c>
      <c r="B41" s="1728"/>
      <c r="C41" s="1710">
        <f>(SUM(C34,C37,C38,C39))</f>
        <v>2095283</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32793</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 xml:space="preserve">&amp;L&amp;8Print Date:  &amp;D
&amp;F&amp;CThe notes are an intergral part of the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9"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1"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3" t="s">
        <v>1237</v>
      </c>
      <c r="B3" s="2164"/>
      <c r="C3" s="1595"/>
      <c r="D3" s="1596"/>
      <c r="E3" s="1596"/>
      <c r="F3" s="1596"/>
      <c r="G3" s="1596"/>
      <c r="H3" s="1596"/>
      <c r="I3" s="1596"/>
      <c r="J3" s="1596"/>
      <c r="K3" s="1597"/>
      <c r="L3" s="506"/>
    </row>
    <row r="4" spans="1:13" ht="15.75" customHeight="1" x14ac:dyDescent="0.2">
      <c r="A4" s="1954" t="s">
        <v>1579</v>
      </c>
      <c r="B4" s="1955">
        <v>1000</v>
      </c>
      <c r="C4" s="1764">
        <f>'Revenues 9-14'!C109</f>
        <v>2613211</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521559</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1442107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4576877</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1751</v>
      </c>
      <c r="B9" s="515">
        <v>3998</v>
      </c>
      <c r="C9" s="481">
        <v>21840</v>
      </c>
      <c r="D9" s="516"/>
      <c r="E9" s="481"/>
      <c r="F9" s="481"/>
      <c r="G9" s="517"/>
      <c r="H9" s="481"/>
      <c r="I9" s="509" t="s">
        <v>1231</v>
      </c>
      <c r="J9" s="478"/>
      <c r="K9" s="481"/>
      <c r="L9" s="347"/>
    </row>
    <row r="10" spans="1:13" s="519" customFormat="1" ht="13.5" thickBot="1" x14ac:dyDescent="0.25">
      <c r="A10" s="1758" t="s">
        <v>1235</v>
      </c>
      <c r="B10" s="1731"/>
      <c r="C10" s="1710">
        <f>SUM(C8:C9)</f>
        <v>4598717</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37" t="s">
        <v>1238</v>
      </c>
      <c r="B11" s="2138"/>
      <c r="C11" s="1592"/>
      <c r="D11" s="1593"/>
      <c r="E11" s="1593"/>
      <c r="F11" s="1593"/>
      <c r="G11" s="1593"/>
      <c r="H11" s="1593"/>
      <c r="I11" s="1593"/>
      <c r="J11" s="1593"/>
      <c r="K11" s="1594"/>
      <c r="L11" s="518"/>
    </row>
    <row r="12" spans="1:13" ht="15.75" customHeight="1" x14ac:dyDescent="0.2">
      <c r="A12" s="1598" t="s">
        <v>476</v>
      </c>
      <c r="B12" s="1600">
        <v>1000</v>
      </c>
      <c r="C12" s="1764">
        <f>'Expenditures 15-22'!K33</f>
        <v>1551399</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2306941</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3858340</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1752</v>
      </c>
      <c r="B18" s="1767">
        <v>4180</v>
      </c>
      <c r="C18" s="1764">
        <f t="shared" ref="C18:H18" si="3">C9</f>
        <v>21840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3880180</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53" t="s">
        <v>1753</v>
      </c>
      <c r="B20" s="2154"/>
      <c r="C20" s="1768">
        <f>C8-C17</f>
        <v>718537</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65" t="s">
        <v>616</v>
      </c>
      <c r="B21" s="2166"/>
      <c r="C21" s="1592"/>
      <c r="D21" s="1593"/>
      <c r="E21" s="1593"/>
      <c r="F21" s="1593"/>
      <c r="G21" s="1593"/>
      <c r="H21" s="1593"/>
      <c r="I21" s="1593"/>
      <c r="J21" s="1593"/>
      <c r="K21" s="1594"/>
      <c r="L21" s="524"/>
    </row>
    <row r="22" spans="1:12" ht="15.75" customHeight="1" collapsed="1" x14ac:dyDescent="0.2">
      <c r="A22" s="2161" t="s">
        <v>617</v>
      </c>
      <c r="B22" s="2162"/>
      <c r="C22" s="477"/>
      <c r="D22" s="477"/>
      <c r="E22" s="477"/>
      <c r="F22" s="477"/>
      <c r="G22" s="477"/>
      <c r="H22" s="477"/>
      <c r="I22" s="477"/>
      <c r="J22" s="477"/>
      <c r="K22" s="477"/>
      <c r="L22" s="347"/>
    </row>
    <row r="23" spans="1:12" s="485" customFormat="1" ht="15.75" customHeight="1" x14ac:dyDescent="0.2">
      <c r="A23" s="2157" t="s">
        <v>311</v>
      </c>
      <c r="B23" s="2158"/>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1893</v>
      </c>
      <c r="B30" s="527">
        <v>7160</v>
      </c>
      <c r="C30" s="477"/>
      <c r="D30" s="467"/>
      <c r="E30" s="477"/>
      <c r="F30" s="477"/>
      <c r="G30" s="477"/>
      <c r="H30" s="477"/>
      <c r="I30" s="477"/>
      <c r="J30" s="477"/>
      <c r="K30" s="477"/>
      <c r="L30" s="524"/>
    </row>
    <row r="31" spans="1:12" s="485" customFormat="1" ht="26.25" x14ac:dyDescent="0.2">
      <c r="A31" s="1511" t="s">
        <v>1897</v>
      </c>
      <c r="B31" s="527">
        <v>7170</v>
      </c>
      <c r="C31" s="477"/>
      <c r="D31" s="477"/>
      <c r="E31" s="474"/>
      <c r="F31" s="477"/>
      <c r="G31" s="477"/>
      <c r="H31" s="477"/>
      <c r="I31" s="477"/>
      <c r="J31" s="477"/>
      <c r="K31" s="477"/>
      <c r="L31" s="524"/>
    </row>
    <row r="32" spans="1:12" s="485" customFormat="1" ht="15.75" customHeight="1" x14ac:dyDescent="0.2">
      <c r="A32" s="2159" t="s">
        <v>1038</v>
      </c>
      <c r="B32" s="216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7" t="s">
        <v>392</v>
      </c>
      <c r="B44" s="2168"/>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61" t="s">
        <v>110</v>
      </c>
      <c r="B45" s="2162"/>
      <c r="C45" s="528"/>
      <c r="D45" s="528"/>
      <c r="E45" s="528"/>
      <c r="F45" s="528"/>
      <c r="G45" s="528"/>
      <c r="H45" s="528"/>
      <c r="I45" s="528"/>
      <c r="J45" s="528"/>
      <c r="K45" s="528"/>
      <c r="L45" s="347"/>
    </row>
    <row r="46" spans="1:12" s="485" customFormat="1" ht="15.75" customHeight="1" x14ac:dyDescent="0.2">
      <c r="A46" s="2169" t="s">
        <v>111</v>
      </c>
      <c r="B46" s="2170"/>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1896</v>
      </c>
      <c r="B52" s="483">
        <v>8160</v>
      </c>
      <c r="C52" s="477"/>
      <c r="D52" s="477"/>
      <c r="E52" s="477"/>
      <c r="F52" s="477"/>
      <c r="G52" s="477"/>
      <c r="H52" s="477"/>
      <c r="I52" s="477"/>
      <c r="J52" s="477"/>
      <c r="K52" s="1765">
        <f>D30</f>
        <v>0</v>
      </c>
      <c r="L52" s="524"/>
    </row>
    <row r="53" spans="1:12" s="485" customFormat="1" ht="26.25" x14ac:dyDescent="0.2">
      <c r="A53" s="1512" t="s">
        <v>1895</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3" t="s">
        <v>460</v>
      </c>
      <c r="B76" s="2144"/>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5" t="s">
        <v>1239</v>
      </c>
      <c r="B77" s="2146"/>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9" t="s">
        <v>618</v>
      </c>
      <c r="B78" s="2150"/>
      <c r="C78" s="1724">
        <f t="shared" ref="C78:K78" si="9">C20+C77</f>
        <v>718537</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2067</v>
      </c>
      <c r="B79" s="534"/>
      <c r="C79" s="478">
        <v>0</v>
      </c>
      <c r="D79" s="535"/>
      <c r="E79" s="535"/>
      <c r="F79" s="535"/>
      <c r="G79" s="535"/>
      <c r="H79" s="535"/>
      <c r="I79" s="535"/>
      <c r="J79" s="535"/>
      <c r="K79" s="535"/>
      <c r="L79" s="347"/>
    </row>
    <row r="80" spans="1:12" x14ac:dyDescent="0.2">
      <c r="A80" s="2155" t="s">
        <v>1894</v>
      </c>
      <c r="B80" s="2156"/>
      <c r="C80" s="467"/>
      <c r="D80" s="467"/>
      <c r="E80" s="467"/>
      <c r="F80" s="467"/>
      <c r="G80" s="467"/>
      <c r="H80" s="467"/>
      <c r="I80" s="467"/>
      <c r="J80" s="467"/>
      <c r="K80" s="467"/>
      <c r="L80" s="347"/>
    </row>
    <row r="81" spans="1:12" ht="13.5" thickBot="1" x14ac:dyDescent="0.25">
      <c r="A81" s="2147" t="s">
        <v>2068</v>
      </c>
      <c r="B81" s="2148"/>
      <c r="C81" s="1710">
        <f>(SUM(C78:C80))</f>
        <v>718537</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718537</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1</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 xml:space="preserve">&amp;L&amp;8Print Date: &amp;D
&amp;F&amp;CThe notes are an intergral part of the financial statements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1" t="s">
        <v>1901</v>
      </c>
      <c r="B1" s="452"/>
      <c r="C1" s="453" t="s">
        <v>445</v>
      </c>
      <c r="D1" s="453" t="s">
        <v>446</v>
      </c>
      <c r="E1" s="453" t="s">
        <v>447</v>
      </c>
      <c r="F1" s="453" t="s">
        <v>448</v>
      </c>
      <c r="G1" s="453" t="s">
        <v>449</v>
      </c>
      <c r="H1" s="453" t="s">
        <v>450</v>
      </c>
      <c r="I1" s="453" t="s">
        <v>451</v>
      </c>
      <c r="J1" s="453" t="s">
        <v>452</v>
      </c>
      <c r="K1" s="453" t="s">
        <v>780</v>
      </c>
    </row>
    <row r="2" spans="1:12" ht="36" x14ac:dyDescent="0.2">
      <c r="A2" s="215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1759</v>
      </c>
      <c r="B5" s="547"/>
      <c r="C5" s="481"/>
      <c r="D5" s="481"/>
      <c r="E5" s="466"/>
      <c r="F5" s="548"/>
      <c r="G5" s="466"/>
      <c r="H5" s="466"/>
      <c r="I5" s="466"/>
      <c r="J5" s="467"/>
      <c r="K5" s="466"/>
    </row>
    <row r="6" spans="1:12" ht="15" x14ac:dyDescent="0.2">
      <c r="A6" s="463" t="s">
        <v>1760</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2314862</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2314862</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0</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287192</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11157</v>
      </c>
      <c r="D107" s="466"/>
      <c r="E107" s="466"/>
      <c r="F107" s="466"/>
      <c r="G107" s="466"/>
      <c r="H107" s="466"/>
      <c r="I107" s="466"/>
      <c r="J107" s="467"/>
      <c r="K107" s="466"/>
    </row>
    <row r="108" spans="1:12" ht="12.75" customHeight="1" thickBot="1" x14ac:dyDescent="0.25">
      <c r="A108" s="1730" t="s">
        <v>508</v>
      </c>
      <c r="B108" s="1734"/>
      <c r="C108" s="1729">
        <f>SUM(C95:C107)</f>
        <v>298349</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2613211</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1765</v>
      </c>
      <c r="B117" s="562">
        <v>3001</v>
      </c>
      <c r="C117" s="516">
        <v>468468</v>
      </c>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8" t="s">
        <v>1900</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468468</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53091</v>
      </c>
      <c r="D171" s="580"/>
      <c r="E171" s="580"/>
      <c r="F171" s="580"/>
      <c r="G171" s="581"/>
      <c r="H171" s="582"/>
      <c r="I171" s="581"/>
      <c r="J171" s="581"/>
      <c r="K171" s="582"/>
    </row>
    <row r="172" spans="1:11" ht="12.75" customHeight="1" thickTop="1" thickBot="1" x14ac:dyDescent="0.25">
      <c r="A172" s="2171" t="s">
        <v>418</v>
      </c>
      <c r="B172" s="2172"/>
      <c r="C172" s="1744">
        <f t="shared" ref="C172:K172" si="6">SUM(C131,C140,C144,C145:C149,C154,C155:C170,C171)</f>
        <v>53091</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521559</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3" t="s">
        <v>1572</v>
      </c>
      <c r="B175" s="217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7" t="s">
        <v>1763</v>
      </c>
      <c r="B178" s="217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1" t="s">
        <v>1762</v>
      </c>
      <c r="B179" s="218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9" t="s">
        <v>818</v>
      </c>
      <c r="B184" s="218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5" t="s">
        <v>1902</v>
      </c>
      <c r="B185" s="2176"/>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18778</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1324847</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1343625</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40566</v>
      </c>
      <c r="D270" s="576"/>
      <c r="E270" s="468"/>
      <c r="F270" s="576"/>
      <c r="G270" s="576"/>
      <c r="H270" s="468"/>
      <c r="I270" s="468"/>
      <c r="J270" s="468"/>
      <c r="K270" s="468"/>
    </row>
    <row r="271" spans="1:11" ht="12.75" customHeight="1" thickTop="1" thickBot="1" x14ac:dyDescent="0.25">
      <c r="A271" s="463" t="s">
        <v>395</v>
      </c>
      <c r="B271" s="470">
        <v>4992</v>
      </c>
      <c r="C271" s="575">
        <v>57916</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1442107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1442107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4576877</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notes are an intergral part of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8" zoomScaleNormal="98" workbookViewId="0">
      <pane ySplit="2" topLeftCell="A103" activePane="bottomLeft" state="frozen"/>
      <selection activeCell="A47" sqref="A47"/>
      <selection pane="bottomLeft" activeCell="E45" sqref="E4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1"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1" t="s">
        <v>315</v>
      </c>
      <c r="B3" s="219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1185961</v>
      </c>
      <c r="D8" s="466">
        <v>274442</v>
      </c>
      <c r="E8" s="466">
        <v>16197</v>
      </c>
      <c r="F8" s="466">
        <v>35169</v>
      </c>
      <c r="G8" s="466">
        <v>39630</v>
      </c>
      <c r="H8" s="466"/>
      <c r="I8" s="467"/>
      <c r="J8" s="467"/>
      <c r="K8" s="1693">
        <f t="shared" si="0"/>
        <v>1551399</v>
      </c>
      <c r="L8" s="466">
        <v>1665084</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1766</v>
      </c>
      <c r="B33" s="1691" t="s">
        <v>591</v>
      </c>
      <c r="C33" s="1692">
        <f>SUM(C5:C32)</f>
        <v>1185961</v>
      </c>
      <c r="D33" s="1692">
        <f t="shared" ref="D33:L33" si="1">SUM(D5:D32)</f>
        <v>274442</v>
      </c>
      <c r="E33" s="1692">
        <f t="shared" si="1"/>
        <v>16197</v>
      </c>
      <c r="F33" s="1692">
        <f t="shared" si="1"/>
        <v>35169</v>
      </c>
      <c r="G33" s="1692">
        <f t="shared" si="1"/>
        <v>39630</v>
      </c>
      <c r="H33" s="1692">
        <f t="shared" si="1"/>
        <v>0</v>
      </c>
      <c r="I33" s="1692">
        <f t="shared" si="1"/>
        <v>0</v>
      </c>
      <c r="J33" s="1692">
        <f t="shared" si="1"/>
        <v>0</v>
      </c>
      <c r="K33" s="1692">
        <f t="shared" si="1"/>
        <v>1551399</v>
      </c>
      <c r="L33" s="1692">
        <f t="shared" si="1"/>
        <v>1665084</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255136</v>
      </c>
      <c r="D36" s="481">
        <v>25644</v>
      </c>
      <c r="E36" s="481">
        <v>6442</v>
      </c>
      <c r="F36" s="481"/>
      <c r="G36" s="481"/>
      <c r="H36" s="481"/>
      <c r="I36" s="467"/>
      <c r="J36" s="467"/>
      <c r="K36" s="1693">
        <f t="shared" ref="K36:K41" si="2">SUM(C36:J36)</f>
        <v>287222</v>
      </c>
      <c r="L36" s="466">
        <v>334346</v>
      </c>
    </row>
    <row r="37" spans="1:14" x14ac:dyDescent="0.2">
      <c r="A37" s="1526" t="s">
        <v>1151</v>
      </c>
      <c r="B37" s="615">
        <v>2120</v>
      </c>
      <c r="C37" s="466">
        <v>21408</v>
      </c>
      <c r="D37" s="466">
        <v>10157</v>
      </c>
      <c r="E37" s="466">
        <v>5112</v>
      </c>
      <c r="F37" s="466">
        <v>1433</v>
      </c>
      <c r="G37" s="466"/>
      <c r="H37" s="466"/>
      <c r="I37" s="467">
        <v>393</v>
      </c>
      <c r="J37" s="467"/>
      <c r="K37" s="1693">
        <f t="shared" si="2"/>
        <v>38503</v>
      </c>
      <c r="L37" s="466">
        <v>52990</v>
      </c>
    </row>
    <row r="38" spans="1:14" x14ac:dyDescent="0.2">
      <c r="A38" s="1526" t="s">
        <v>207</v>
      </c>
      <c r="B38" s="615">
        <v>2130</v>
      </c>
      <c r="C38" s="466">
        <v>359276</v>
      </c>
      <c r="D38" s="466">
        <v>82387</v>
      </c>
      <c r="E38" s="466">
        <v>16192</v>
      </c>
      <c r="F38" s="466"/>
      <c r="G38" s="466"/>
      <c r="H38" s="466"/>
      <c r="I38" s="467"/>
      <c r="J38" s="467"/>
      <c r="K38" s="1693">
        <f t="shared" si="2"/>
        <v>457855</v>
      </c>
      <c r="L38" s="466">
        <v>456997</v>
      </c>
    </row>
    <row r="39" spans="1:14" x14ac:dyDescent="0.2">
      <c r="A39" s="1526" t="s">
        <v>208</v>
      </c>
      <c r="B39" s="615">
        <v>2140</v>
      </c>
      <c r="C39" s="466">
        <v>237536</v>
      </c>
      <c r="D39" s="466">
        <v>30860</v>
      </c>
      <c r="E39" s="466">
        <v>8683</v>
      </c>
      <c r="F39" s="466"/>
      <c r="G39" s="466"/>
      <c r="H39" s="466"/>
      <c r="I39" s="467"/>
      <c r="J39" s="467"/>
      <c r="K39" s="1693">
        <f t="shared" si="2"/>
        <v>277079</v>
      </c>
      <c r="L39" s="466">
        <v>280301</v>
      </c>
    </row>
    <row r="40" spans="1:14" x14ac:dyDescent="0.2">
      <c r="A40" s="1526" t="s">
        <v>209</v>
      </c>
      <c r="B40" s="615">
        <v>2150</v>
      </c>
      <c r="C40" s="466">
        <v>384822</v>
      </c>
      <c r="D40" s="466">
        <v>46696</v>
      </c>
      <c r="E40" s="466">
        <v>64992</v>
      </c>
      <c r="F40" s="466">
        <v>214</v>
      </c>
      <c r="G40" s="466"/>
      <c r="H40" s="466"/>
      <c r="I40" s="467"/>
      <c r="J40" s="467"/>
      <c r="K40" s="1693">
        <f t="shared" si="2"/>
        <v>496724</v>
      </c>
      <c r="L40" s="466">
        <v>546617</v>
      </c>
    </row>
    <row r="41" spans="1:14" x14ac:dyDescent="0.2">
      <c r="A41" s="1526" t="s">
        <v>1767</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1258178</v>
      </c>
      <c r="D42" s="1692">
        <f t="shared" ref="D42:L42" si="3">SUM(D36:D41)</f>
        <v>195744</v>
      </c>
      <c r="E42" s="1692">
        <f t="shared" si="3"/>
        <v>101421</v>
      </c>
      <c r="F42" s="1692">
        <f t="shared" si="3"/>
        <v>1647</v>
      </c>
      <c r="G42" s="1692">
        <f t="shared" si="3"/>
        <v>0</v>
      </c>
      <c r="H42" s="1692">
        <f t="shared" si="3"/>
        <v>0</v>
      </c>
      <c r="I42" s="1692">
        <f t="shared" si="3"/>
        <v>393</v>
      </c>
      <c r="J42" s="1692">
        <f t="shared" si="3"/>
        <v>0</v>
      </c>
      <c r="K42" s="1692">
        <f t="shared" si="3"/>
        <v>1557383</v>
      </c>
      <c r="L42" s="1692">
        <f t="shared" si="3"/>
        <v>1671251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9089</v>
      </c>
      <c r="D44" s="481">
        <v>1271</v>
      </c>
      <c r="E44" s="481">
        <v>27223</v>
      </c>
      <c r="F44" s="481">
        <v>5589</v>
      </c>
      <c r="G44" s="481"/>
      <c r="H44" s="481"/>
      <c r="I44" s="467"/>
      <c r="J44" s="467"/>
      <c r="K44" s="1694">
        <f>SUM(C44:J44)</f>
        <v>43172</v>
      </c>
      <c r="L44" s="481">
        <v>81999</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v>24030</v>
      </c>
      <c r="G46" s="466"/>
      <c r="H46" s="466"/>
      <c r="I46" s="467"/>
      <c r="J46" s="467"/>
      <c r="K46" s="1694">
        <f>SUM(C46:J46)</f>
        <v>24030</v>
      </c>
      <c r="L46" s="466">
        <v>30000</v>
      </c>
    </row>
    <row r="47" spans="1:14" ht="12.75" customHeight="1" thickBot="1" x14ac:dyDescent="0.25">
      <c r="A47" s="1690" t="s">
        <v>582</v>
      </c>
      <c r="B47" s="1691" t="s">
        <v>32</v>
      </c>
      <c r="C47" s="1692">
        <f>SUM(C44:C46)</f>
        <v>9089</v>
      </c>
      <c r="D47" s="1692">
        <f t="shared" ref="D47:K47" si="4">SUM(D44:D46)</f>
        <v>1271</v>
      </c>
      <c r="E47" s="1692">
        <f t="shared" si="4"/>
        <v>27223</v>
      </c>
      <c r="F47" s="1692">
        <f t="shared" si="4"/>
        <v>29619</v>
      </c>
      <c r="G47" s="1692">
        <f t="shared" si="4"/>
        <v>0</v>
      </c>
      <c r="H47" s="1692">
        <f t="shared" si="4"/>
        <v>0</v>
      </c>
      <c r="I47" s="1692">
        <f t="shared" si="4"/>
        <v>0</v>
      </c>
      <c r="J47" s="1692">
        <f t="shared" si="4"/>
        <v>0</v>
      </c>
      <c r="K47" s="1692">
        <f t="shared" si="4"/>
        <v>67202</v>
      </c>
      <c r="L47" s="1692">
        <f>SUM(L44:L46)</f>
        <v>111999</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row>
    <row r="50" spans="1:14" x14ac:dyDescent="0.2">
      <c r="A50" s="1526" t="s">
        <v>872</v>
      </c>
      <c r="B50" s="615">
        <v>2320</v>
      </c>
      <c r="C50" s="466"/>
      <c r="D50" s="466"/>
      <c r="E50" s="466">
        <v>10009</v>
      </c>
      <c r="F50" s="466">
        <v>4450</v>
      </c>
      <c r="G50" s="466">
        <v>4942</v>
      </c>
      <c r="H50" s="466">
        <v>14137</v>
      </c>
      <c r="I50" s="467">
        <v>14459</v>
      </c>
      <c r="J50" s="467"/>
      <c r="K50" s="1694">
        <f>SUM(C50:J50)</f>
        <v>47997</v>
      </c>
      <c r="L50" s="466"/>
    </row>
    <row r="51" spans="1:14" x14ac:dyDescent="0.2">
      <c r="A51" s="1526" t="s">
        <v>44</v>
      </c>
      <c r="B51" s="615">
        <v>2330</v>
      </c>
      <c r="C51" s="466">
        <v>348209</v>
      </c>
      <c r="D51" s="466">
        <v>87269</v>
      </c>
      <c r="E51" s="466">
        <v>22988</v>
      </c>
      <c r="F51" s="466">
        <v>7956</v>
      </c>
      <c r="G51" s="466"/>
      <c r="H51" s="466">
        <v>1930</v>
      </c>
      <c r="I51" s="467"/>
      <c r="J51" s="467"/>
      <c r="K51" s="1694">
        <f>SUM(C51:J51)</f>
        <v>468352</v>
      </c>
      <c r="L51" s="466">
        <v>528433</v>
      </c>
    </row>
    <row r="52" spans="1:14" ht="22.5" x14ac:dyDescent="0.2">
      <c r="A52" s="1527" t="s">
        <v>316</v>
      </c>
      <c r="B52" s="628" t="s">
        <v>384</v>
      </c>
      <c r="C52" s="474"/>
      <c r="D52" s="474"/>
      <c r="E52" s="474">
        <v>127734</v>
      </c>
      <c r="F52" s="474"/>
      <c r="G52" s="474"/>
      <c r="H52" s="474"/>
      <c r="I52" s="474"/>
      <c r="J52" s="474"/>
      <c r="K52" s="1694">
        <f>SUM(C52:J52)</f>
        <v>127734</v>
      </c>
      <c r="L52" s="474">
        <v>247228</v>
      </c>
    </row>
    <row r="53" spans="1:14" ht="12.75" customHeight="1" thickBot="1" x14ac:dyDescent="0.25">
      <c r="A53" s="1690" t="s">
        <v>741</v>
      </c>
      <c r="B53" s="1691" t="s">
        <v>33</v>
      </c>
      <c r="C53" s="1692">
        <f>SUM(C49:C52)</f>
        <v>348209</v>
      </c>
      <c r="D53" s="1692">
        <f t="shared" ref="D53:L53" si="5">SUM(D49:D52)</f>
        <v>87269</v>
      </c>
      <c r="E53" s="1692">
        <f t="shared" si="5"/>
        <v>160731</v>
      </c>
      <c r="F53" s="1692">
        <f t="shared" si="5"/>
        <v>12406</v>
      </c>
      <c r="G53" s="1692">
        <f t="shared" si="5"/>
        <v>4942</v>
      </c>
      <c r="H53" s="1692">
        <f t="shared" si="5"/>
        <v>16067</v>
      </c>
      <c r="I53" s="1692">
        <f t="shared" si="5"/>
        <v>14459</v>
      </c>
      <c r="J53" s="1692">
        <f t="shared" si="5"/>
        <v>0</v>
      </c>
      <c r="K53" s="1692">
        <f t="shared" si="5"/>
        <v>644083</v>
      </c>
      <c r="L53" s="1692">
        <f t="shared" si="5"/>
        <v>775661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v>2500</v>
      </c>
      <c r="F60" s="466"/>
      <c r="G60" s="466"/>
      <c r="H60" s="466"/>
      <c r="I60" s="467"/>
      <c r="J60" s="467"/>
      <c r="K60" s="1694">
        <f t="shared" si="7"/>
        <v>2500</v>
      </c>
      <c r="L60" s="466"/>
      <c r="M60" s="610"/>
      <c r="N60" s="610"/>
    </row>
    <row r="61" spans="1:14" s="343" customFormat="1" x14ac:dyDescent="0.2">
      <c r="A61" s="1526" t="s">
        <v>206</v>
      </c>
      <c r="B61" s="615">
        <v>2540</v>
      </c>
      <c r="C61" s="466"/>
      <c r="D61" s="466"/>
      <c r="E61" s="466">
        <v>986</v>
      </c>
      <c r="F61" s="466">
        <v>5528</v>
      </c>
      <c r="G61" s="466"/>
      <c r="H61" s="466"/>
      <c r="I61" s="467"/>
      <c r="J61" s="467"/>
      <c r="K61" s="1694">
        <f t="shared" si="7"/>
        <v>6514</v>
      </c>
      <c r="L61" s="466">
        <v>28300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v>21679</v>
      </c>
      <c r="G64" s="481"/>
      <c r="H64" s="481"/>
      <c r="I64" s="467"/>
      <c r="J64" s="467"/>
      <c r="K64" s="1694">
        <f t="shared" si="7"/>
        <v>21679</v>
      </c>
      <c r="L64" s="481"/>
    </row>
    <row r="65" spans="1:14" s="343" customFormat="1" ht="12.75" customHeight="1" thickBot="1" x14ac:dyDescent="0.25">
      <c r="A65" s="1690" t="s">
        <v>743</v>
      </c>
      <c r="B65" s="1691" t="s">
        <v>35</v>
      </c>
      <c r="C65" s="1692">
        <f>SUM(C59:C64)</f>
        <v>0</v>
      </c>
      <c r="D65" s="1692">
        <f t="shared" ref="D65:L65" si="8">SUM(D59:D64)</f>
        <v>0</v>
      </c>
      <c r="E65" s="1692">
        <f t="shared" si="8"/>
        <v>3486</v>
      </c>
      <c r="F65" s="1692">
        <f t="shared" si="8"/>
        <v>27207</v>
      </c>
      <c r="G65" s="1692">
        <f t="shared" si="8"/>
        <v>0</v>
      </c>
      <c r="H65" s="1692">
        <f t="shared" si="8"/>
        <v>0</v>
      </c>
      <c r="I65" s="1692">
        <f t="shared" si="8"/>
        <v>0</v>
      </c>
      <c r="J65" s="1692">
        <f t="shared" si="8"/>
        <v>0</v>
      </c>
      <c r="K65" s="1692">
        <f t="shared" si="8"/>
        <v>30693</v>
      </c>
      <c r="L65" s="1692">
        <f t="shared" si="8"/>
        <v>28300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v>7580</v>
      </c>
      <c r="F71" s="466"/>
      <c r="G71" s="466"/>
      <c r="H71" s="466"/>
      <c r="I71" s="467"/>
      <c r="J71" s="467"/>
      <c r="K71" s="1694">
        <f>SUM(C71:J71)</f>
        <v>7580</v>
      </c>
      <c r="L71" s="466">
        <v>15600</v>
      </c>
      <c r="M71" s="610"/>
      <c r="N71" s="610"/>
    </row>
    <row r="72" spans="1:14" s="343" customFormat="1" ht="12.75" customHeight="1" thickBot="1" x14ac:dyDescent="0.25">
      <c r="A72" s="1690" t="s">
        <v>37</v>
      </c>
      <c r="B72" s="1697" t="s">
        <v>36</v>
      </c>
      <c r="C72" s="1692">
        <f>SUM(C67:C71)</f>
        <v>0</v>
      </c>
      <c r="D72" s="1692">
        <f t="shared" ref="D72:K72" si="9">SUM(D67:D71)</f>
        <v>0</v>
      </c>
      <c r="E72" s="1692">
        <f t="shared" si="9"/>
        <v>7580</v>
      </c>
      <c r="F72" s="1692">
        <f t="shared" si="9"/>
        <v>0</v>
      </c>
      <c r="G72" s="1692">
        <f t="shared" si="9"/>
        <v>0</v>
      </c>
      <c r="H72" s="1692">
        <f t="shared" si="9"/>
        <v>0</v>
      </c>
      <c r="I72" s="1692">
        <f t="shared" si="9"/>
        <v>0</v>
      </c>
      <c r="J72" s="1692">
        <f t="shared" si="9"/>
        <v>0</v>
      </c>
      <c r="K72" s="1692">
        <f t="shared" si="9"/>
        <v>7580</v>
      </c>
      <c r="L72" s="1692">
        <f>SUM(L67:L71)</f>
        <v>15600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1615476</v>
      </c>
      <c r="D74" s="1699">
        <f t="shared" ref="D74:K74" si="10">SUM(D42,D47,D53,D57,D65,D72,D73)</f>
        <v>284284</v>
      </c>
      <c r="E74" s="1699">
        <f t="shared" si="10"/>
        <v>300441</v>
      </c>
      <c r="F74" s="1699">
        <f t="shared" si="10"/>
        <v>70879</v>
      </c>
      <c r="G74" s="1699">
        <f t="shared" si="10"/>
        <v>4942</v>
      </c>
      <c r="H74" s="1699">
        <f t="shared" si="10"/>
        <v>16067</v>
      </c>
      <c r="I74" s="1699">
        <f t="shared" si="10"/>
        <v>14852</v>
      </c>
      <c r="J74" s="1699">
        <f t="shared" si="10"/>
        <v>0</v>
      </c>
      <c r="K74" s="1699">
        <f t="shared" si="10"/>
        <v>2306941</v>
      </c>
      <c r="L74" s="1699">
        <f>SUM(L42,L47,L53,L57,L65,L72,L73)</f>
        <v>2602811</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0</v>
      </c>
      <c r="I102" s="477"/>
      <c r="J102" s="477"/>
      <c r="K102" s="1699">
        <f>SUM(K84,K92,K100,K101)</f>
        <v>0</v>
      </c>
      <c r="L102" s="1699">
        <f>SUM(L84,L92,L100,L101)</f>
        <v>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2801437</v>
      </c>
      <c r="D114" s="1692">
        <f t="shared" ref="D114:K114" si="13">SUM(D33,D74,D75,D102,D112,D113)</f>
        <v>558726</v>
      </c>
      <c r="E114" s="1692">
        <f t="shared" si="13"/>
        <v>316638</v>
      </c>
      <c r="F114" s="1692">
        <f t="shared" si="13"/>
        <v>106048</v>
      </c>
      <c r="G114" s="1692">
        <f t="shared" si="13"/>
        <v>44572</v>
      </c>
      <c r="H114" s="1692">
        <f>SUM(H33,H74,H75,H102,H112,H113)</f>
        <v>16067</v>
      </c>
      <c r="I114" s="1692">
        <f t="shared" si="13"/>
        <v>14852</v>
      </c>
      <c r="J114" s="1692">
        <f t="shared" si="13"/>
        <v>0</v>
      </c>
      <c r="K114" s="1692">
        <f t="shared" si="13"/>
        <v>3858340</v>
      </c>
      <c r="L114" s="1692">
        <f>SUM(L33,L74,L75,L102,L112,L113)</f>
        <v>4267895</v>
      </c>
    </row>
    <row r="115" spans="1:14" ht="13.5" thickTop="1" x14ac:dyDescent="0.2">
      <c r="A115" s="2183" t="s">
        <v>1053</v>
      </c>
      <c r="B115" s="2184"/>
      <c r="C115" s="619"/>
      <c r="D115" s="619"/>
      <c r="E115" s="619"/>
      <c r="F115" s="619"/>
      <c r="G115" s="619"/>
      <c r="H115" s="619"/>
      <c r="I115" s="619"/>
      <c r="J115" s="619"/>
      <c r="K115" s="1706">
        <f>'Revenues 9-14'!C275-'Expenditures 15-22'!K114</f>
        <v>718537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8" t="s">
        <v>314</v>
      </c>
      <c r="B117" s="218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1952</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200" t="s">
        <v>641</v>
      </c>
      <c r="B151" s="2180"/>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203" t="s">
        <v>1240</v>
      </c>
      <c r="B152" s="2204"/>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8" t="s">
        <v>642</v>
      </c>
      <c r="B154" s="219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1953</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1952</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1954</v>
      </c>
      <c r="C158" s="617"/>
      <c r="D158" s="617"/>
      <c r="E158" s="617"/>
      <c r="F158" s="617"/>
      <c r="G158" s="617"/>
      <c r="H158" s="467"/>
      <c r="I158" s="617"/>
      <c r="J158" s="617"/>
      <c r="K158" s="1693">
        <f>H158</f>
        <v>0</v>
      </c>
      <c r="L158" s="467"/>
      <c r="M158" s="620"/>
      <c r="N158" s="620"/>
    </row>
    <row r="159" spans="1:14" s="621" customFormat="1" ht="12" x14ac:dyDescent="0.2">
      <c r="A159" s="1849" t="s">
        <v>1955</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1956</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1768</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83" t="s">
        <v>1053</v>
      </c>
      <c r="B175" s="2184"/>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83" t="s">
        <v>1053</v>
      </c>
      <c r="B211" s="2184"/>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5" t="s">
        <v>1022</v>
      </c>
      <c r="B213" s="220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1904</v>
      </c>
      <c r="B249" s="684" t="s">
        <v>300</v>
      </c>
      <c r="C249" s="617"/>
      <c r="D249" s="474"/>
      <c r="E249" s="617"/>
      <c r="F249" s="617"/>
      <c r="G249" s="617"/>
      <c r="H249" s="617"/>
      <c r="I249" s="617"/>
      <c r="J249" s="617"/>
      <c r="K249" s="1694">
        <f t="shared" si="21"/>
        <v>0</v>
      </c>
      <c r="L249" s="466"/>
    </row>
    <row r="250" spans="1:12" x14ac:dyDescent="0.2">
      <c r="A250" s="1527" t="s">
        <v>1905</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1903</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1952</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201" t="s">
        <v>526</v>
      </c>
      <c r="B295" s="2202"/>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83" t="s">
        <v>1053</v>
      </c>
      <c r="B296" s="2184"/>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3" t="s">
        <v>145</v>
      </c>
      <c r="B298" s="218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1957</v>
      </c>
      <c r="B306" s="691" t="s">
        <v>1952</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8" t="s">
        <v>295</v>
      </c>
      <c r="B312" s="2199"/>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94" t="s">
        <v>1053</v>
      </c>
      <c r="B313" s="2195"/>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7" t="s">
        <v>151</v>
      </c>
      <c r="B315" s="220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9" t="s">
        <v>954</v>
      </c>
      <c r="B317" s="220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1904</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1958</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1952</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1954</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1959</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96" t="s">
        <v>1053</v>
      </c>
      <c r="B343" s="2197"/>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6" t="s">
        <v>1023</v>
      </c>
      <c r="B345" s="218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1960</v>
      </c>
      <c r="B354" s="684" t="s">
        <v>1952</v>
      </c>
      <c r="C354" s="617"/>
      <c r="D354" s="617"/>
      <c r="E354" s="617"/>
      <c r="F354" s="617"/>
      <c r="G354" s="617"/>
      <c r="H354" s="474"/>
      <c r="I354" s="702"/>
      <c r="J354" s="617"/>
      <c r="K354" s="1721">
        <f>H354</f>
        <v>0</v>
      </c>
      <c r="L354" s="471"/>
    </row>
    <row r="355" spans="1:14" ht="12.75" customHeight="1" x14ac:dyDescent="0.2">
      <c r="A355" s="1535" t="s">
        <v>1961</v>
      </c>
      <c r="B355" s="691" t="s">
        <v>1954</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83" t="s">
        <v>1053</v>
      </c>
      <c r="B368" s="2184"/>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notes are an intergral part of the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purl.org/dc/elements/1.1/"/>
    <ds:schemaRef ds:uri="http://purl.org/dc/dcmitype/"/>
    <ds:schemaRef ds:uri="d21dc803-237d-4c68-8692-8d731fd29118"/>
    <ds:schemaRef ds:uri="4d435f69-8686-490b-bd6d-b153bf22ab50"/>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6ce3111e-7420-4802-b50a-75d4e9a0b98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F09C570-DA39-47B8-B461-8F8F8F151F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2018-12-06T17:19:37Z</cp:lastPrinted>
  <dcterms:created xsi:type="dcterms:W3CDTF">2003-10-29T19:06:34Z</dcterms:created>
  <dcterms:modified xsi:type="dcterms:W3CDTF">2018-12-10T15:52:30Z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