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15" yWindow="1431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J88" i="28" l="1"/>
  <c r="L39" i="3" l="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9" i="34"/>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K6" i="29"/>
  <c r="B7763" i="106" s="1"/>
  <c r="B7762" i="106"/>
  <c r="K12" i="12"/>
  <c r="K23" i="12"/>
  <c r="J12" i="12"/>
  <c r="J21" i="12"/>
  <c r="J23" i="12"/>
  <c r="B7729" i="106"/>
  <c r="B7734" i="106"/>
  <c r="B7726" i="106"/>
  <c r="F162" i="34"/>
  <c r="B30" i="36"/>
  <c r="B33" i="36" s="1"/>
  <c r="B43" i="36" s="1"/>
  <c r="B56" i="36" s="1"/>
  <c r="B66" i="36" s="1"/>
  <c r="B70" i="36" s="1"/>
  <c r="B74" i="36" s="1"/>
  <c r="D73" i="36"/>
  <c r="C191" i="5"/>
  <c r="C201" i="5"/>
  <c r="C211" i="5"/>
  <c r="C216" i="5"/>
  <c r="C224" i="5"/>
  <c r="C228" i="5"/>
  <c r="B5304" i="106" s="1"/>
  <c r="D5304" i="106" s="1"/>
  <c r="C259" i="5"/>
  <c r="B7761" i="106"/>
  <c r="L127" i="29"/>
  <c r="L129" i="29" s="1"/>
  <c r="L139" i="29"/>
  <c r="L149" i="29"/>
  <c r="I7" i="145"/>
  <c r="I6" i="145"/>
  <c r="D82" i="36"/>
  <c r="D78" i="36"/>
  <c r="K75" i="29"/>
  <c r="K130" i="29"/>
  <c r="K185" i="29"/>
  <c r="B2836" i="106" s="1"/>
  <c r="D2836" i="106" s="1"/>
  <c r="K122" i="29"/>
  <c r="F15" i="145" s="1"/>
  <c r="F19" i="145" s="1"/>
  <c r="K67" i="29"/>
  <c r="K64" i="29"/>
  <c r="K59" i="29"/>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K82" i="29"/>
  <c r="B2977" i="106" s="1"/>
  <c r="D2977" i="106" s="1"/>
  <c r="K83" i="29"/>
  <c r="K93" i="29"/>
  <c r="K94" i="29"/>
  <c r="K95" i="29"/>
  <c r="K96" i="29"/>
  <c r="K97" i="29"/>
  <c r="K98" i="29"/>
  <c r="K99" i="29"/>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K188" i="29"/>
  <c r="B3007" i="106" s="1"/>
  <c r="D3007" i="106" s="1"/>
  <c r="K189" i="29"/>
  <c r="K190" i="29"/>
  <c r="B3009" i="106" s="1"/>
  <c r="D3009" i="106" s="1"/>
  <c r="K191" i="29"/>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F69" i="34"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c r="B6299" i="106"/>
  <c r="D6299" i="106" s="1"/>
  <c r="B6300" i="106"/>
  <c r="D6300" i="106"/>
  <c r="B6302" i="106"/>
  <c r="D6302" i="106" s="1"/>
  <c r="B6303" i="106"/>
  <c r="D6303" i="106"/>
  <c r="B6304" i="106"/>
  <c r="D6304" i="106" s="1"/>
  <c r="B6305" i="106"/>
  <c r="D6305" i="106"/>
  <c r="B6307" i="106"/>
  <c r="D6307" i="106" s="1"/>
  <c r="B6308" i="106"/>
  <c r="D6308" i="106"/>
  <c r="B6309" i="106"/>
  <c r="D6309" i="106" s="1"/>
  <c r="B6310" i="106"/>
  <c r="D6310" i="106"/>
  <c r="B6311" i="106"/>
  <c r="D6311" i="106" s="1"/>
  <c r="B6312" i="106"/>
  <c r="D6312" i="106"/>
  <c r="B6313" i="106"/>
  <c r="D6313" i="106" s="1"/>
  <c r="B6314" i="106"/>
  <c r="D6314" i="106"/>
  <c r="B6315" i="106"/>
  <c r="D6315" i="106" s="1"/>
  <c r="B6316" i="106"/>
  <c r="D6316" i="106"/>
  <c r="B6317" i="106"/>
  <c r="D6317" i="106" s="1"/>
  <c r="B6319" i="106"/>
  <c r="D6319" i="106"/>
  <c r="B6320" i="106"/>
  <c r="D6320" i="106" s="1"/>
  <c r="B6321" i="106"/>
  <c r="D6321" i="106"/>
  <c r="B6322" i="106"/>
  <c r="D6322" i="106" s="1"/>
  <c r="B6323" i="106"/>
  <c r="D6323" i="106"/>
  <c r="B6324" i="106"/>
  <c r="D6324" i="106" s="1"/>
  <c r="B6325" i="106"/>
  <c r="D6325" i="106"/>
  <c r="B6326" i="106"/>
  <c r="D6326" i="106" s="1"/>
  <c r="B6327" i="106"/>
  <c r="D6327" i="106"/>
  <c r="B6328" i="106"/>
  <c r="D6328" i="106" s="1"/>
  <c r="B6329" i="106"/>
  <c r="D6329" i="106"/>
  <c r="B6330" i="106"/>
  <c r="D6330" i="106" s="1"/>
  <c r="B6331" i="106"/>
  <c r="D6331" i="106"/>
  <c r="B6332" i="106"/>
  <c r="D6332" i="106" s="1"/>
  <c r="B6333" i="106"/>
  <c r="D6333" i="106"/>
  <c r="B6334" i="106"/>
  <c r="D6334" i="106" s="1"/>
  <c r="B6335" i="106"/>
  <c r="D6335" i="106"/>
  <c r="B6336" i="106"/>
  <c r="D6336" i="106" s="1"/>
  <c r="B6337" i="106"/>
  <c r="D6337" i="106"/>
  <c r="B6338" i="106"/>
  <c r="D6338" i="106" s="1"/>
  <c r="B6339" i="106"/>
  <c r="D6339" i="106"/>
  <c r="B6340" i="106"/>
  <c r="D6340" i="106" s="1"/>
  <c r="B6341" i="106"/>
  <c r="D6341" i="106"/>
  <c r="B6342" i="106"/>
  <c r="D6342" i="106" s="1"/>
  <c r="B6343" i="106"/>
  <c r="D6343" i="106"/>
  <c r="B6344" i="106"/>
  <c r="D6344" i="106" s="1"/>
  <c r="B6345" i="106"/>
  <c r="D6345" i="106"/>
  <c r="B6346" i="106"/>
  <c r="D6346" i="106" s="1"/>
  <c r="B6347" i="106"/>
  <c r="D6347" i="106"/>
  <c r="B6348" i="106"/>
  <c r="D6348" i="106" s="1"/>
  <c r="B6349" i="106"/>
  <c r="D6349" i="106"/>
  <c r="B6350" i="106"/>
  <c r="D6350" i="106" s="1"/>
  <c r="B6353" i="106"/>
  <c r="D6353" i="106"/>
  <c r="B6354" i="106"/>
  <c r="D6354" i="106" s="1"/>
  <c r="B6355" i="106"/>
  <c r="D6355" i="106"/>
  <c r="B6356" i="106"/>
  <c r="D6356" i="106" s="1"/>
  <c r="B6358" i="106"/>
  <c r="D6358" i="106"/>
  <c r="B6359" i="106"/>
  <c r="D6359" i="106" s="1"/>
  <c r="B6360" i="106"/>
  <c r="D6360" i="106"/>
  <c r="B6361" i="106"/>
  <c r="D6361" i="106" s="1"/>
  <c r="B6362" i="106"/>
  <c r="D6362" i="106"/>
  <c r="B6363" i="106"/>
  <c r="D6363" i="106" s="1"/>
  <c r="B6364" i="106"/>
  <c r="D6364" i="106"/>
  <c r="B6365" i="106"/>
  <c r="D6365" i="106" s="1"/>
  <c r="B6366" i="106"/>
  <c r="D6366" i="106"/>
  <c r="B6367" i="106"/>
  <c r="D6367" i="106" s="1"/>
  <c r="B6368" i="106"/>
  <c r="D6368" i="106"/>
  <c r="B6369" i="106"/>
  <c r="D6369" i="106" s="1"/>
  <c r="B6370" i="106"/>
  <c r="D6370" i="106"/>
  <c r="B6371" i="106"/>
  <c r="D6371" i="106" s="1"/>
  <c r="B6372" i="106"/>
  <c r="D6372" i="106"/>
  <c r="B6373" i="106"/>
  <c r="D6373" i="106" s="1"/>
  <c r="B6374" i="106"/>
  <c r="D6374" i="106"/>
  <c r="B6375" i="106"/>
  <c r="D6375" i="106" s="1"/>
  <c r="B6376" i="106"/>
  <c r="D6376" i="106"/>
  <c r="B6377" i="106"/>
  <c r="D6377" i="106" s="1"/>
  <c r="B6378" i="106"/>
  <c r="D6378" i="106"/>
  <c r="B6379" i="106"/>
  <c r="D6379" i="106" s="1"/>
  <c r="B6380" i="106"/>
  <c r="D6380" i="106"/>
  <c r="B6381" i="106"/>
  <c r="D6381" i="106" s="1"/>
  <c r="B6382" i="106"/>
  <c r="D6382" i="106"/>
  <c r="B6383" i="106"/>
  <c r="D6383" i="106" s="1"/>
  <c r="B6384" i="106"/>
  <c r="D6384" i="106"/>
  <c r="B6385" i="106"/>
  <c r="D6385" i="106" s="1"/>
  <c r="B6386" i="106"/>
  <c r="D6386" i="106"/>
  <c r="B6387" i="106"/>
  <c r="D6387" i="106" s="1"/>
  <c r="B6388" i="106"/>
  <c r="D6388" i="106"/>
  <c r="B6389" i="106"/>
  <c r="D6389" i="106" s="1"/>
  <c r="B6390" i="106"/>
  <c r="D6390" i="106"/>
  <c r="B6391" i="106"/>
  <c r="D6391" i="106" s="1"/>
  <c r="B6392" i="106"/>
  <c r="D6392" i="106"/>
  <c r="B6393" i="106"/>
  <c r="D6393" i="106" s="1"/>
  <c r="B6394" i="106"/>
  <c r="D6394" i="106"/>
  <c r="B6395" i="106"/>
  <c r="D6395" i="106" s="1"/>
  <c r="B6398" i="106"/>
  <c r="D6398" i="106"/>
  <c r="B6399" i="106"/>
  <c r="D6399" i="106" s="1"/>
  <c r="B6401" i="106"/>
  <c r="D6401" i="106"/>
  <c r="B6402" i="106"/>
  <c r="D6402" i="106" s="1"/>
  <c r="B6403" i="106"/>
  <c r="D6403" i="106"/>
  <c r="B6404" i="106"/>
  <c r="D6404" i="106" s="1"/>
  <c r="B6405" i="106"/>
  <c r="D6405" i="106"/>
  <c r="B6406" i="106"/>
  <c r="D6406" i="106" s="1"/>
  <c r="B6407" i="106"/>
  <c r="D6407" i="106"/>
  <c r="B6408" i="106"/>
  <c r="D6408" i="106" s="1"/>
  <c r="B6410" i="106"/>
  <c r="D6410" i="106"/>
  <c r="B6411" i="106"/>
  <c r="D6411" i="106" s="1"/>
  <c r="B6412" i="106"/>
  <c r="D6412" i="106"/>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c r="B6618" i="106"/>
  <c r="D6618" i="106" s="1"/>
  <c r="B6619" i="106"/>
  <c r="D6619" i="106"/>
  <c r="B6620" i="106"/>
  <c r="D6620" i="106" s="1"/>
  <c r="B6621" i="106"/>
  <c r="D6621" i="106"/>
  <c r="B6622" i="106"/>
  <c r="D6622" i="106" s="1"/>
  <c r="B6623" i="106"/>
  <c r="D6623" i="106"/>
  <c r="B6624" i="106"/>
  <c r="D6624" i="106" s="1"/>
  <c r="B6625" i="106"/>
  <c r="D6625" i="106"/>
  <c r="B6626" i="106"/>
  <c r="D6626" i="106" s="1"/>
  <c r="B6627" i="106"/>
  <c r="D6627" i="106"/>
  <c r="B6628" i="106"/>
  <c r="D6628" i="106" s="1"/>
  <c r="B6629" i="106"/>
  <c r="D6629" i="106"/>
  <c r="B6630" i="106"/>
  <c r="D6630" i="106" s="1"/>
  <c r="B6631" i="106"/>
  <c r="D6631" i="106"/>
  <c r="B6632" i="106"/>
  <c r="D6632" i="106" s="1"/>
  <c r="B6633" i="106"/>
  <c r="D6633" i="106"/>
  <c r="B6634" i="106"/>
  <c r="D6634" i="106" s="1"/>
  <c r="B6635" i="106"/>
  <c r="D6635" i="106"/>
  <c r="B6636" i="106"/>
  <c r="D6636" i="106" s="1"/>
  <c r="B6637" i="106"/>
  <c r="D6637" i="106"/>
  <c r="B6638" i="106"/>
  <c r="D6638" i="106" s="1"/>
  <c r="B6639" i="106"/>
  <c r="D6639" i="106"/>
  <c r="B6640" i="106"/>
  <c r="D6640" i="106" s="1"/>
  <c r="B6641" i="106"/>
  <c r="D6641" i="106"/>
  <c r="B6642" i="106"/>
  <c r="D6642" i="106" s="1"/>
  <c r="B6643" i="106"/>
  <c r="D6643" i="106"/>
  <c r="B6644" i="106"/>
  <c r="D6644" i="106" s="1"/>
  <c r="B6645" i="106"/>
  <c r="D6645" i="106"/>
  <c r="B6646" i="106"/>
  <c r="D6646" i="106" s="1"/>
  <c r="B6647" i="106"/>
  <c r="D6647" i="106"/>
  <c r="B6648" i="106"/>
  <c r="D6648" i="106" s="1"/>
  <c r="B6649" i="106"/>
  <c r="D6649" i="106"/>
  <c r="B6650" i="106"/>
  <c r="D6650" i="106" s="1"/>
  <c r="B6651" i="106"/>
  <c r="D6651" i="106"/>
  <c r="B6652" i="106"/>
  <c r="D6652" i="106" s="1"/>
  <c r="B6653" i="106"/>
  <c r="D6653" i="106"/>
  <c r="B6654" i="106"/>
  <c r="D6654" i="106" s="1"/>
  <c r="B6655" i="106"/>
  <c r="D6655" i="106"/>
  <c r="B6656" i="106"/>
  <c r="D6656" i="106" s="1"/>
  <c r="B6657" i="106"/>
  <c r="D6657" i="106"/>
  <c r="B6658" i="106"/>
  <c r="D6658" i="106" s="1"/>
  <c r="B6659" i="106"/>
  <c r="D6659" i="106"/>
  <c r="B6660" i="106"/>
  <c r="D6660" i="106" s="1"/>
  <c r="B6661" i="106"/>
  <c r="D6661" i="106"/>
  <c r="B6662" i="106"/>
  <c r="D6662" i="106" s="1"/>
  <c r="B6663" i="106"/>
  <c r="D6663" i="106"/>
  <c r="B6664" i="106"/>
  <c r="D6664" i="106" s="1"/>
  <c r="B6665" i="106"/>
  <c r="D6665" i="106"/>
  <c r="B6666" i="106"/>
  <c r="D6666" i="106" s="1"/>
  <c r="B6667" i="106"/>
  <c r="D6667" i="106"/>
  <c r="B6668" i="106"/>
  <c r="D6668" i="106" s="1"/>
  <c r="B6669" i="106"/>
  <c r="D6669" i="106"/>
  <c r="B6670" i="106"/>
  <c r="D6670" i="106" s="1"/>
  <c r="B6671" i="106"/>
  <c r="D6671" i="106"/>
  <c r="B6672" i="106"/>
  <c r="D6672" i="106" s="1"/>
  <c r="B6673" i="106"/>
  <c r="D6673" i="106"/>
  <c r="B6674" i="106"/>
  <c r="D6674" i="106" s="1"/>
  <c r="B6675" i="106"/>
  <c r="D6675" i="106"/>
  <c r="B6676" i="106"/>
  <c r="D6676" i="106" s="1"/>
  <c r="B6677" i="106"/>
  <c r="D6677" i="106"/>
  <c r="B6678" i="106"/>
  <c r="D6678" i="106" s="1"/>
  <c r="B6679" i="106"/>
  <c r="D6679" i="106"/>
  <c r="B6680" i="106"/>
  <c r="D6680" i="106" s="1"/>
  <c r="B6681" i="106"/>
  <c r="D6681" i="106"/>
  <c r="B6682" i="106"/>
  <c r="D6682" i="106" s="1"/>
  <c r="B6683" i="106"/>
  <c r="D6683" i="106"/>
  <c r="B6684" i="106"/>
  <c r="D6684" i="106" s="1"/>
  <c r="B6685" i="106"/>
  <c r="D6685" i="106"/>
  <c r="B6686" i="106"/>
  <c r="D6686" i="106" s="1"/>
  <c r="B6687" i="106"/>
  <c r="D6687" i="106"/>
  <c r="B6688" i="106"/>
  <c r="D6688" i="106" s="1"/>
  <c r="B6689" i="106"/>
  <c r="D6689" i="106"/>
  <c r="B6690" i="106"/>
  <c r="D6690" i="106" s="1"/>
  <c r="B6691" i="106"/>
  <c r="D6691" i="106"/>
  <c r="B6692" i="106"/>
  <c r="D6692" i="106" s="1"/>
  <c r="B6693" i="106"/>
  <c r="D6693" i="106"/>
  <c r="B6694" i="106"/>
  <c r="D6694" i="106" s="1"/>
  <c r="B6695" i="106"/>
  <c r="D6695" i="106"/>
  <c r="B6696" i="106"/>
  <c r="D6696" i="106" s="1"/>
  <c r="B6697" i="106"/>
  <c r="D6697" i="106"/>
  <c r="B6698" i="106"/>
  <c r="D6698" i="106" s="1"/>
  <c r="B6699" i="106"/>
  <c r="D6699" i="106"/>
  <c r="B6700" i="106"/>
  <c r="D6700" i="106" s="1"/>
  <c r="B6701" i="106"/>
  <c r="D6701" i="106"/>
  <c r="B6702" i="106"/>
  <c r="D6702" i="106" s="1"/>
  <c r="B6703" i="106"/>
  <c r="D6703" i="106"/>
  <c r="B6704" i="106"/>
  <c r="D6704" i="106" s="1"/>
  <c r="B6705" i="106"/>
  <c r="D6705" i="106"/>
  <c r="B6706" i="106"/>
  <c r="D6706" i="106" s="1"/>
  <c r="B6707" i="106"/>
  <c r="D6707" i="106"/>
  <c r="B6708" i="106"/>
  <c r="D6708" i="106" s="1"/>
  <c r="B6709" i="106"/>
  <c r="D6709" i="106"/>
  <c r="B6710" i="106"/>
  <c r="D6710" i="106" s="1"/>
  <c r="B6711" i="106"/>
  <c r="D6711" i="106"/>
  <c r="B6712" i="106"/>
  <c r="D6712" i="106" s="1"/>
  <c r="B6713" i="106"/>
  <c r="D6713" i="106"/>
  <c r="B6714" i="106"/>
  <c r="D6714" i="106" s="1"/>
  <c r="B6715" i="106"/>
  <c r="D6715" i="106"/>
  <c r="B6716" i="106"/>
  <c r="D6716" i="106" s="1"/>
  <c r="B6717" i="106"/>
  <c r="D6717" i="106"/>
  <c r="B6718" i="106"/>
  <c r="D6718" i="106" s="1"/>
  <c r="B6719" i="106"/>
  <c r="D6719" i="106"/>
  <c r="B6720" i="106"/>
  <c r="D6720" i="106" s="1"/>
  <c r="B6721" i="106"/>
  <c r="D6721" i="106"/>
  <c r="B6722" i="106"/>
  <c r="D6722" i="106" s="1"/>
  <c r="B6723" i="106"/>
  <c r="D6723" i="106"/>
  <c r="B6724" i="106"/>
  <c r="D6724" i="106" s="1"/>
  <c r="B6725" i="106"/>
  <c r="D6725" i="106"/>
  <c r="B6726" i="106"/>
  <c r="D6726" i="106" s="1"/>
  <c r="B6727" i="106"/>
  <c r="D6727" i="106" s="1"/>
  <c r="B6728" i="106"/>
  <c r="D6728" i="106" s="1"/>
  <c r="B6729" i="106"/>
  <c r="D6729" i="106" s="1"/>
  <c r="B6730" i="106"/>
  <c r="D6730" i="106"/>
  <c r="B6731" i="106"/>
  <c r="D6731" i="106" s="1"/>
  <c r="B6732" i="106"/>
  <c r="D6732" i="106" s="1"/>
  <c r="B6733" i="106"/>
  <c r="D6733" i="106" s="1"/>
  <c r="B6734" i="106"/>
  <c r="D6734" i="106" s="1"/>
  <c r="B6735" i="106"/>
  <c r="D6735" i="106" s="1"/>
  <c r="B6736" i="106"/>
  <c r="D6736" i="106" s="1"/>
  <c r="B6737" i="106"/>
  <c r="D6737" i="106" s="1"/>
  <c r="B6738" i="106"/>
  <c r="D6738" i="106"/>
  <c r="B6739" i="106"/>
  <c r="D6739" i="106" s="1"/>
  <c r="B6740" i="106"/>
  <c r="D6740" i="106" s="1"/>
  <c r="B6741" i="106"/>
  <c r="D6741" i="106" s="1"/>
  <c r="B6742" i="106"/>
  <c r="D6742" i="106" s="1"/>
  <c r="B6743" i="106"/>
  <c r="D6743" i="106" s="1"/>
  <c r="B6744" i="106"/>
  <c r="D6744" i="106" s="1"/>
  <c r="B6745" i="106"/>
  <c r="D6745" i="106" s="1"/>
  <c r="B6746" i="106"/>
  <c r="D6746" i="106"/>
  <c r="B6747" i="106"/>
  <c r="D6747" i="106" s="1"/>
  <c r="B6748" i="106"/>
  <c r="D6748" i="106" s="1"/>
  <c r="B6749" i="106"/>
  <c r="D6749" i="106" s="1"/>
  <c r="B6750" i="106"/>
  <c r="D6750" i="106" s="1"/>
  <c r="B6751" i="106"/>
  <c r="D6751" i="106" s="1"/>
  <c r="B6752" i="106"/>
  <c r="D6752" i="106" s="1"/>
  <c r="B6753" i="106"/>
  <c r="D6753" i="106" s="1"/>
  <c r="B6754" i="106"/>
  <c r="D6754" i="106"/>
  <c r="B6755" i="106"/>
  <c r="D6755" i="106" s="1"/>
  <c r="B6756" i="106"/>
  <c r="D6756" i="106" s="1"/>
  <c r="B6757" i="106"/>
  <c r="D6757" i="106" s="1"/>
  <c r="B6758" i="106"/>
  <c r="D6758" i="106" s="1"/>
  <c r="B6759" i="106"/>
  <c r="D6759" i="106" s="1"/>
  <c r="B6760" i="106"/>
  <c r="D6760" i="106" s="1"/>
  <c r="B6761" i="106"/>
  <c r="D6761" i="106" s="1"/>
  <c r="B6762" i="106"/>
  <c r="D6762" i="106"/>
  <c r="B6763" i="106"/>
  <c r="D6763" i="106" s="1"/>
  <c r="B6764" i="106"/>
  <c r="D6764" i="106" s="1"/>
  <c r="B6765" i="106"/>
  <c r="D6765" i="106" s="1"/>
  <c r="B6766" i="106"/>
  <c r="D6766" i="106" s="1"/>
  <c r="B6767" i="106"/>
  <c r="D6767" i="106" s="1"/>
  <c r="B6768" i="106"/>
  <c r="D6768" i="106" s="1"/>
  <c r="B6769" i="106"/>
  <c r="D6769" i="106" s="1"/>
  <c r="B6770" i="106"/>
  <c r="D6770" i="106"/>
  <c r="B6771" i="106"/>
  <c r="D6771" i="106" s="1"/>
  <c r="B6772" i="106"/>
  <c r="D6772" i="106" s="1"/>
  <c r="B6773" i="106"/>
  <c r="D6773" i="106" s="1"/>
  <c r="B6774" i="106"/>
  <c r="D6774" i="106" s="1"/>
  <c r="B6775" i="106"/>
  <c r="D6775" i="106" s="1"/>
  <c r="B6776" i="106"/>
  <c r="D6776" i="106" s="1"/>
  <c r="B6777" i="106"/>
  <c r="D6777" i="106" s="1"/>
  <c r="B6778" i="106"/>
  <c r="D6778" i="106"/>
  <c r="B6779" i="106"/>
  <c r="D6779" i="106" s="1"/>
  <c r="B6780" i="106"/>
  <c r="D6780" i="106" s="1"/>
  <c r="B6781" i="106"/>
  <c r="D6781" i="106" s="1"/>
  <c r="B6782" i="106"/>
  <c r="D6782" i="106" s="1"/>
  <c r="B6783" i="106"/>
  <c r="D6783" i="106" s="1"/>
  <c r="B6784" i="106"/>
  <c r="D6784" i="106" s="1"/>
  <c r="B6785" i="106"/>
  <c r="D6785" i="106" s="1"/>
  <c r="B6786" i="106"/>
  <c r="D6786" i="106"/>
  <c r="B6787" i="106"/>
  <c r="D6787" i="106" s="1"/>
  <c r="B6788" i="106"/>
  <c r="D6788" i="106" s="1"/>
  <c r="B6789" i="106"/>
  <c r="D6789" i="106" s="1"/>
  <c r="B6790" i="106"/>
  <c r="D6790" i="106" s="1"/>
  <c r="B6791" i="106"/>
  <c r="D6791" i="106" s="1"/>
  <c r="B6792" i="106"/>
  <c r="D6792" i="106" s="1"/>
  <c r="B6793" i="106"/>
  <c r="D6793" i="106" s="1"/>
  <c r="B6794" i="106"/>
  <c r="D6794" i="106"/>
  <c r="B6795" i="106"/>
  <c r="D6795" i="106" s="1"/>
  <c r="B6796" i="106"/>
  <c r="D6796" i="106" s="1"/>
  <c r="B6797" i="106"/>
  <c r="D6797" i="106" s="1"/>
  <c r="B6798" i="106"/>
  <c r="D6798" i="106" s="1"/>
  <c r="B6799" i="106"/>
  <c r="D6799" i="106" s="1"/>
  <c r="B6800" i="106"/>
  <c r="D6800" i="106" s="1"/>
  <c r="B6801" i="106"/>
  <c r="D6801" i="106" s="1"/>
  <c r="B6802" i="106"/>
  <c r="D6802" i="106"/>
  <c r="B6803" i="106"/>
  <c r="D6803" i="106" s="1"/>
  <c r="B6804" i="106"/>
  <c r="D6804" i="106" s="1"/>
  <c r="B6805" i="106"/>
  <c r="D6805" i="106" s="1"/>
  <c r="B6806" i="106"/>
  <c r="D6806" i="106" s="1"/>
  <c r="B6807" i="106"/>
  <c r="D6807" i="106" s="1"/>
  <c r="B6808" i="106"/>
  <c r="D6808" i="106" s="1"/>
  <c r="B6809" i="106"/>
  <c r="D6809" i="106" s="1"/>
  <c r="B6810" i="106"/>
  <c r="D6810" i="106"/>
  <c r="B6811" i="106"/>
  <c r="D6811" i="106" s="1"/>
  <c r="B6812" i="106"/>
  <c r="D6812" i="106" s="1"/>
  <c r="B6813" i="106"/>
  <c r="D6813" i="106" s="1"/>
  <c r="B6814" i="106"/>
  <c r="D6814" i="106" s="1"/>
  <c r="B6815" i="106"/>
  <c r="D6815" i="106" s="1"/>
  <c r="B6816" i="106"/>
  <c r="D6816" i="106" s="1"/>
  <c r="B6817" i="106"/>
  <c r="D6817" i="106" s="1"/>
  <c r="B6818" i="106"/>
  <c r="D6818" i="106"/>
  <c r="B6819" i="106"/>
  <c r="D6819" i="106" s="1"/>
  <c r="B6820" i="106"/>
  <c r="D6820" i="106" s="1"/>
  <c r="B6821" i="106"/>
  <c r="D6821" i="106" s="1"/>
  <c r="B6822" i="106"/>
  <c r="D6822" i="106" s="1"/>
  <c r="B6823" i="106"/>
  <c r="D6823" i="106" s="1"/>
  <c r="B6824" i="106"/>
  <c r="D6824" i="106" s="1"/>
  <c r="B6825" i="106"/>
  <c r="D6825" i="106" s="1"/>
  <c r="B6826" i="106"/>
  <c r="D6826" i="106"/>
  <c r="B6827" i="106"/>
  <c r="D6827" i="106" s="1"/>
  <c r="B6828" i="106"/>
  <c r="D6828" i="106" s="1"/>
  <c r="B6829" i="106"/>
  <c r="D6829" i="106" s="1"/>
  <c r="B6830" i="106"/>
  <c r="D6830" i="106" s="1"/>
  <c r="B6831" i="106"/>
  <c r="D6831" i="106"/>
  <c r="B6832" i="106"/>
  <c r="D6832" i="106" s="1"/>
  <c r="B6841" i="106"/>
  <c r="D6841" i="106"/>
  <c r="B6842" i="106"/>
  <c r="D6842" i="106" s="1"/>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D26" i="108"/>
  <c r="E26" i="108"/>
  <c r="F26" i="108"/>
  <c r="G26" i="108"/>
  <c r="D27" i="108"/>
  <c r="E27" i="108"/>
  <c r="F27" i="108"/>
  <c r="G27" i="108"/>
  <c r="E28" i="108"/>
  <c r="F28" i="108"/>
  <c r="F31" i="108"/>
  <c r="F36" i="108"/>
  <c r="F37" i="108"/>
  <c r="G28" i="108"/>
  <c r="E29" i="108"/>
  <c r="E30" i="108"/>
  <c r="G30" i="108"/>
  <c r="D31" i="108"/>
  <c r="D36" i="108"/>
  <c r="D37" i="108"/>
  <c r="E31" i="108"/>
  <c r="G31" i="108"/>
  <c r="E33" i="108"/>
  <c r="G33" i="108"/>
  <c r="E34" i="108"/>
  <c r="G34"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C43" i="34"/>
  <c r="D43" i="34"/>
  <c r="C44" i="34"/>
  <c r="D44" i="34"/>
  <c r="C45" i="34"/>
  <c r="D45" i="34"/>
  <c r="F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7" i="29" s="1"/>
  <c r="L362" i="29"/>
  <c r="L365" i="29" s="1"/>
  <c r="C12" i="5"/>
  <c r="B5066" i="106"/>
  <c r="D5066" i="106" s="1"/>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c r="D5562" i="106" s="1"/>
  <c r="G18" i="5"/>
  <c r="B5730" i="106" s="1"/>
  <c r="D5730" i="106" s="1"/>
  <c r="H18" i="5"/>
  <c r="B5878" i="106"/>
  <c r="D5878" i="106" s="1"/>
  <c r="I18" i="5"/>
  <c r="B5923" i="106" s="1"/>
  <c r="D5923" i="106" s="1"/>
  <c r="J18" i="5"/>
  <c r="B6306" i="106"/>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B5752" i="106" s="1"/>
  <c r="D5752" i="106" s="1"/>
  <c r="G144" i="5"/>
  <c r="B5756" i="106" s="1"/>
  <c r="D5756" i="106" s="1"/>
  <c r="G154" i="5"/>
  <c r="G172" i="5"/>
  <c r="G173" i="5" s="1"/>
  <c r="B5778" i="106" s="1"/>
  <c r="D5778" i="106" s="1"/>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s="1"/>
  <c r="D6400" i="106" s="1"/>
  <c r="K178" i="5"/>
  <c r="B4951" i="106"/>
  <c r="D4951" i="106" s="1"/>
  <c r="C184" i="5"/>
  <c r="B5232" i="106" s="1"/>
  <c r="D5232" i="106" s="1"/>
  <c r="D184" i="5"/>
  <c r="B5425" i="106"/>
  <c r="D5425" i="106" s="1"/>
  <c r="F184" i="5"/>
  <c r="B5658" i="106" s="1"/>
  <c r="D5658" i="106" s="1"/>
  <c r="G184" i="5"/>
  <c r="B5784" i="106"/>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G5" i="4"/>
  <c r="B3409" i="106" s="1"/>
  <c r="D3409" i="106" s="1"/>
  <c r="G14" i="4"/>
  <c r="B2609" i="106" s="1"/>
  <c r="D2609" i="106" s="1"/>
  <c r="F13" i="4"/>
  <c r="B2596" i="106" s="1"/>
  <c r="D2596"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L22" i="37"/>
  <c r="D24" i="37"/>
  <c r="B4270" i="106" s="1"/>
  <c r="D4270" i="106" s="1"/>
  <c r="L5" i="11"/>
  <c r="B2056" i="106" s="1"/>
  <c r="D2056" i="106" s="1"/>
  <c r="D4" i="7"/>
  <c r="B1760" i="106" s="1"/>
  <c r="D1760" i="106" s="1"/>
  <c r="D5" i="7"/>
  <c r="B1761" i="106" s="1"/>
  <c r="D1761" i="106" s="1"/>
  <c r="D13" i="7"/>
  <c r="B3726" i="106" s="1"/>
  <c r="D3726" i="106" s="1"/>
  <c r="D9" i="7"/>
  <c r="B1767" i="106" s="1"/>
  <c r="D1767" i="106" s="1"/>
  <c r="F131" i="34"/>
  <c r="F111" i="34"/>
  <c r="B5847" i="106"/>
  <c r="D5847" i="106" s="1"/>
  <c r="K274" i="5"/>
  <c r="H173" i="5"/>
  <c r="B5906" i="106" s="1"/>
  <c r="D5906" i="106" s="1"/>
  <c r="H109" i="5"/>
  <c r="B6025" i="106" s="1"/>
  <c r="D6025" i="106" s="1"/>
  <c r="H6" i="4"/>
  <c r="B2656" i="106" s="1"/>
  <c r="D2656" i="106" s="1"/>
  <c r="B1746" i="106"/>
  <c r="D1746" i="106" s="1"/>
  <c r="D17" i="7"/>
  <c r="B4104" i="106" s="1"/>
  <c r="D4104" i="106" s="1"/>
  <c r="D12" i="7"/>
  <c r="B1769" i="106" s="1"/>
  <c r="D1769" i="106" s="1"/>
  <c r="D15" i="7"/>
  <c r="B1772" i="106" s="1"/>
  <c r="D1772" i="106" s="1"/>
  <c r="D109" i="5" l="1"/>
  <c r="F130" i="34"/>
  <c r="K28" i="118"/>
  <c r="O27" i="118" s="1"/>
  <c r="O29" i="118" s="1"/>
  <c r="E109" i="5"/>
  <c r="E4" i="4" s="1"/>
  <c r="B2630" i="106" s="1"/>
  <c r="D2630" i="106" s="1"/>
  <c r="F46" i="34"/>
  <c r="B7078" i="106"/>
  <c r="D7078" i="106" s="1"/>
  <c r="B3649" i="106"/>
  <c r="D3649" i="106" s="1"/>
  <c r="G367" i="29"/>
  <c r="K285" i="29"/>
  <c r="B3723" i="106"/>
  <c r="D3723" i="106" s="1"/>
  <c r="H4" i="4"/>
  <c r="B2655" i="106" s="1"/>
  <c r="D2655" i="106" s="1"/>
  <c r="B1308" i="106"/>
  <c r="D1308" i="106" s="1"/>
  <c r="E174" i="29"/>
  <c r="B1309" i="106" s="1"/>
  <c r="D1309" i="106" s="1"/>
  <c r="C129" i="29"/>
  <c r="B1223" i="106"/>
  <c r="D1223" i="106" s="1"/>
  <c r="D11" i="7"/>
  <c r="B1768" i="106" s="1"/>
  <c r="D1768" i="106" s="1"/>
  <c r="D7" i="7"/>
  <c r="B1763" i="106" s="1"/>
  <c r="D1763" i="106" s="1"/>
  <c r="C172" i="5"/>
  <c r="B5214" i="106" s="1"/>
  <c r="D5214" i="106" s="1"/>
  <c r="F127" i="34"/>
  <c r="F136" i="34"/>
  <c r="D5" i="4"/>
  <c r="B3406" i="106" s="1"/>
  <c r="D3406" i="106" s="1"/>
  <c r="I173" i="5"/>
  <c r="B4216" i="106" s="1"/>
  <c r="D4216" i="106" s="1"/>
  <c r="F50" i="34"/>
  <c r="F44" i="34"/>
  <c r="G35" i="108"/>
  <c r="I342" i="29"/>
  <c r="B7222" i="106" s="1"/>
  <c r="D7222" i="106" s="1"/>
  <c r="F106" i="34"/>
  <c r="F128" i="34"/>
  <c r="B5770" i="106"/>
  <c r="D5770" i="106" s="1"/>
  <c r="J22" i="37"/>
  <c r="J274" i="5"/>
  <c r="B7054" i="106" s="1"/>
  <c r="D7054" i="106" s="1"/>
  <c r="G109" i="5"/>
  <c r="L312" i="29"/>
  <c r="F42" i="34"/>
  <c r="E35" i="108"/>
  <c r="G29" i="108"/>
  <c r="B7235" i="106"/>
  <c r="D7235" i="106" s="1"/>
  <c r="C342" i="29"/>
  <c r="B7216" i="106" s="1"/>
  <c r="D7216" i="106" s="1"/>
  <c r="B4087" i="106"/>
  <c r="D4087" i="106" s="1"/>
  <c r="B1329" i="106"/>
  <c r="D1329" i="106" s="1"/>
  <c r="F61" i="34"/>
  <c r="B3621" i="106"/>
  <c r="D3621" i="106" s="1"/>
  <c r="C367" i="29"/>
  <c r="B3622" i="106" s="1"/>
  <c r="D3622" i="106" s="1"/>
  <c r="B1410" i="106"/>
  <c r="D1410" i="106" s="1"/>
  <c r="E15" i="145"/>
  <c r="G15" i="145" s="1"/>
  <c r="B1126" i="106"/>
  <c r="D1126" i="106" s="1"/>
  <c r="K350" i="29"/>
  <c r="F21" i="8"/>
  <c r="B279" i="106"/>
  <c r="D279" i="106" s="1"/>
  <c r="M40" i="3"/>
  <c r="K24" i="12"/>
  <c r="H367" i="29"/>
  <c r="K76" i="4"/>
  <c r="B3586" i="106" s="1"/>
  <c r="D3586" i="106" s="1"/>
  <c r="C173" i="5"/>
  <c r="B5223" i="106" s="1"/>
  <c r="D5223" i="106" s="1"/>
  <c r="C109" i="5"/>
  <c r="B5121" i="106" s="1"/>
  <c r="D5121"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C6" i="4"/>
  <c r="B2553" i="106" s="1"/>
  <c r="D2553"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60" i="106"/>
  <c r="D3660" i="106" s="1"/>
  <c r="B3650" i="106"/>
  <c r="D3650"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B5527" i="106"/>
  <c r="D5527" i="106" s="1"/>
  <c r="L279" i="29"/>
  <c r="L295" i="29" s="1"/>
  <c r="L74" i="29"/>
  <c r="L114" i="29" s="1"/>
  <c r="K33" i="29"/>
  <c r="B720" i="106"/>
  <c r="D720" i="106" s="1"/>
  <c r="L16" i="11"/>
  <c r="B2061" i="106" s="1"/>
  <c r="D2061"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73" i="5"/>
  <c r="J24" i="12"/>
  <c r="B7730" i="106"/>
  <c r="D7730" i="106" s="1"/>
  <c r="H275" i="5"/>
  <c r="B5914" i="106"/>
  <c r="D5914" i="106" s="1"/>
  <c r="B2657" i="106"/>
  <c r="D2657" i="106" s="1"/>
  <c r="D274" i="5"/>
  <c r="B3447" i="106"/>
  <c r="D3447" i="106" s="1"/>
  <c r="B7270" i="106"/>
  <c r="J7" i="4" l="1"/>
  <c r="D7256" i="106"/>
  <c r="D7251" i="106"/>
  <c r="B7733" i="106"/>
  <c r="D7733" i="106" s="1"/>
  <c r="K26" i="12"/>
  <c r="B7743" i="106" s="1"/>
  <c r="D7743" i="106" s="1"/>
  <c r="B3670" i="106"/>
  <c r="D3670" i="106" s="1"/>
  <c r="K352" i="29"/>
  <c r="B6024" i="106"/>
  <c r="D6024" i="106" s="1"/>
  <c r="G4" i="4"/>
  <c r="B2603" i="106" s="1"/>
  <c r="D2603" i="106" s="1"/>
  <c r="M41" i="3"/>
  <c r="B280" i="106"/>
  <c r="D280" i="106" s="1"/>
  <c r="H8" i="4"/>
  <c r="D7254" i="106"/>
  <c r="D7250" i="106"/>
  <c r="D19" i="7"/>
  <c r="B1775" i="106" s="1"/>
  <c r="D1775" i="106" s="1"/>
  <c r="F274" i="5"/>
  <c r="F275" i="5" s="1"/>
  <c r="K342" i="29"/>
  <c r="F13" i="34" s="1"/>
  <c r="B1879" i="106"/>
  <c r="D1879" i="106" s="1"/>
  <c r="H22" i="37"/>
  <c r="F73" i="34"/>
  <c r="G15" i="4"/>
  <c r="B6032" i="106" s="1"/>
  <c r="D6032" i="106" s="1"/>
  <c r="B5356" i="106"/>
  <c r="D5356" i="106" s="1"/>
  <c r="D4" i="4"/>
  <c r="B2564" i="106" s="1"/>
  <c r="D2564" i="106" s="1"/>
  <c r="C114" i="29"/>
  <c r="B757" i="106" s="1"/>
  <c r="D757" i="106" s="1"/>
  <c r="C4" i="4"/>
  <c r="B2551" i="106" s="1"/>
  <c r="D2551"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B2658" i="106"/>
  <c r="D2658" i="106" s="1"/>
  <c r="H10" i="4"/>
  <c r="B4127" i="106" s="1"/>
  <c r="D4127" i="106" s="1"/>
  <c r="D7" i="4"/>
  <c r="D275" i="5"/>
  <c r="B5507" i="106"/>
  <c r="D5507" i="106" s="1"/>
  <c r="B7298" i="106"/>
  <c r="B7299" i="106"/>
  <c r="K13" i="4" l="1"/>
  <c r="B3572" i="106" s="1"/>
  <c r="D3572" i="106" s="1"/>
  <c r="B3672" i="106"/>
  <c r="D3672" i="106" s="1"/>
  <c r="F24" i="37"/>
  <c r="B281" i="106"/>
  <c r="D281" i="106" s="1"/>
  <c r="D54" i="36"/>
  <c r="J8" i="4"/>
  <c r="F8" i="4"/>
  <c r="D8" i="146" s="1"/>
  <c r="K367" i="29"/>
  <c r="E41" i="108"/>
  <c r="E44" i="108" s="1"/>
  <c r="E45" i="108" s="1"/>
  <c r="G41" i="108"/>
  <c r="G44" i="108" s="1"/>
  <c r="G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D8" i="4"/>
  <c r="F10" i="4"/>
  <c r="B4125" i="106" s="1"/>
  <c r="D412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D78" i="4"/>
  <c r="B2574" i="106"/>
  <c r="D2574" i="106" s="1"/>
  <c r="F8" i="146"/>
  <c r="B6215" i="106" l="1"/>
  <c r="D6215" i="106" s="1"/>
  <c r="J41" i="3"/>
  <c r="B3588" i="106"/>
  <c r="D3588" i="106" s="1"/>
  <c r="K81" i="4"/>
  <c r="K39" i="3" s="1"/>
  <c r="F78" i="4"/>
  <c r="B2601" i="106"/>
  <c r="D2601" i="106" s="1"/>
  <c r="B3320" i="106"/>
  <c r="D3320" i="106" s="1"/>
  <c r="I81" i="4"/>
  <c r="I39" i="3" s="1"/>
  <c r="K17" i="118"/>
  <c r="B3300" i="106"/>
  <c r="D3300" i="106" s="1"/>
  <c r="H81" i="4"/>
  <c r="H39" i="3" s="1"/>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123" i="106" l="1"/>
  <c r="D123" i="106" s="1"/>
  <c r="D41" i="3"/>
  <c r="B2912" i="106"/>
  <c r="D2912" i="106" s="1"/>
  <c r="I41" i="3"/>
  <c r="B3567" i="106"/>
  <c r="D3567" i="106" s="1"/>
  <c r="K41" i="3"/>
  <c r="B212" i="106"/>
  <c r="D212" i="106" s="1"/>
  <c r="H41" i="3"/>
  <c r="B6216" i="106"/>
  <c r="D6216" i="106" s="1"/>
  <c r="D51" i="36"/>
  <c r="B3278" i="106"/>
  <c r="D3278" i="106" s="1"/>
  <c r="E81" i="4"/>
  <c r="E39" i="3" s="1"/>
  <c r="B3233" i="106"/>
  <c r="D3233" i="106" s="1"/>
  <c r="C81" i="4"/>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70" i="106" l="1"/>
  <c r="D170" i="106" s="1"/>
  <c r="F41" i="3"/>
  <c r="B140" i="106"/>
  <c r="D140" i="106" s="1"/>
  <c r="E41" i="3"/>
  <c r="B213" i="106"/>
  <c r="D213" i="106" s="1"/>
  <c r="D49" i="36"/>
  <c r="D50" i="36"/>
  <c r="B2913" i="106"/>
  <c r="D2913" i="106" s="1"/>
  <c r="B3568" i="106"/>
  <c r="D3568" i="106" s="1"/>
  <c r="D52" i="36"/>
  <c r="B124" i="106"/>
  <c r="D124" i="106" s="1"/>
  <c r="D45" i="36"/>
  <c r="B189" i="106"/>
  <c r="D189" i="106" s="1"/>
  <c r="G41" i="3"/>
  <c r="B92" i="106"/>
  <c r="D92" i="106" s="1"/>
  <c r="D76" i="36"/>
  <c r="C41"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41" i="106" l="1"/>
  <c r="D141" i="106" s="1"/>
  <c r="D46" i="36"/>
  <c r="D48" i="36"/>
  <c r="B190" i="106"/>
  <c r="D190" i="106" s="1"/>
  <c r="B171" i="106"/>
  <c r="D171" i="106" s="1"/>
  <c r="D47"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<sst xmlns="http://schemas.openxmlformats.org/spreadsheetml/2006/main" count="5030" uniqueCount="2105">
  <si>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</si>
  <si>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</si>
  <si>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</si>
  <si>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</si>
  <si>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</si>
  <si>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</si>
  <si>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</si>
  <si>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</si>
  <si>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</si>
  <si>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</si>
  <si>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</si>
  <si>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</si>
  <si>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</si>
  <si>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</si>
  <si>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</si>
  <si>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</si>
  <si>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</si>
  <si>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</si>
  <si>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</si>
  <si>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</si>
  <si>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</si>
  <si>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</si>
  <si>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</si>
  <si>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</si>
  <si>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</si>
  <si>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</si>
  <si>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</si>
  <si>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</si>
  <si>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</si>
  <si>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</si>
  <si>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</si>
  <si>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</si>
  <si>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</si>
  <si>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</si>
  <si>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</si>
  <si>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</si>
  <si>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</si>
  <si>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</si>
  <si>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</si>
  <si>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</si>
  <si>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</si>
  <si>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</si>
  <si>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</si>
  <si>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</si>
  <si>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</si>
  <si>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</si>
  <si>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</si>
  <si>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</si>
  <si>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</si>
  <si>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</si>
  <si>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</si>
  <si>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</si>
  <si>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</si>
  <si>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</si>
  <si>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</si>
  <si>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</si>
  <si>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</si>
  <si>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</si>
  <si>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</si>
  <si>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</si>
  <si>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</si>
  <si>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</si>
  <si>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</si>
  <si>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</si>
  <si>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</si>
  <si>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</si>
  <si>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</si>
  <si>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</si>
  <si>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</si>
  <si>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</si>
  <si>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</si>
  <si>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</si>
  <si>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</si>
  <si>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</si>
  <si>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</si>
  <si>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</si>
  <si>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</si>
  <si>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</si>
  <si>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</si>
  <si>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</si>
  <si>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</si>
  <si>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</si>
  <si>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</si>
  <si>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</si>
  <si>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</si>
  <si>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</si>
  <si>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</si>
  <si>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</si>
  <si>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</si>
  <si>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</si>
  <si>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</si>
  <si>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</si>
  <si>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</si>
  <si>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</si>
  <si>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</si>
  <si>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</si>
  <si>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</si>
  <si>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</si>
  <si>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</si>
  <si>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</si>
  <si>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</si>
  <si>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</si>
  <si>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</si>
  <si>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</si>
  <si>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</si>
  <si>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</si>
  <si>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</si>
  <si>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</si>
  <si>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</si>
  <si>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</si>
  <si>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</si>
  <si>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</si>
  <si>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</si>
  <si>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</si>
  <si>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</si>
  <si>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</si>
  <si>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</si>
  <si>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</si>
  <si>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</si>
  <si>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</si>
  <si>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</si>
  <si>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</si>
  <si>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</si>
  <si>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</si>
  <si>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</si>
  <si>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</si>
  <si>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</si>
  <si>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</si>
  <si>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</si>
  <si>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</si>
  <si>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</si>
  <si>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</si>
  <si>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</si>
  <si>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</si>
  <si>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</si>
  <si>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</si>
  <si>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</si>
  <si>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</si>
  <si>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</si>
  <si>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</si>
  <si>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</si>
  <si>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</si>
  <si>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</si>
  <si>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</si>
  <si>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</si>
  <si>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</si>
  <si>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</si>
  <si>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</si>
  <si>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</si>
  <si>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</si>
  <si>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</si>
  <si>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</si>
  <si>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</si>
  <si>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</si>
  <si>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</si>
  <si>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</si>
  <si>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</si>
  <si>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</si>
  <si>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</si>
  <si>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</si>
  <si>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</si>
  <si>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</si>
  <si>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</si>
  <si>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</si>
  <si>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</si>
  <si>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</si>
  <si>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</si>
  <si>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</si>
  <si>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</si>
  <si>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</si>
  <si>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</si>
  <si>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</si>
  <si>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</si>
  <si>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</si>
  <si>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</si>
  <si>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</si>
  <si>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</si>
  <si>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</si>
  <si>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</si>
  <si>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</si>
  <si>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</si>
  <si>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</si>
  <si>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</si>
  <si>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</si>
  <si>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</si>
  <si>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</si>
  <si>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</si>
  <si>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</si>
  <si>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</si>
  <si>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</si>
  <si>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</si>
  <si>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</si>
  <si>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</si>
  <si>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</si>
  <si>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</si>
  <si>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</si>
  <si>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</si>
  <si>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</si>
  <si>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</si>
  <si>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</si>
  <si>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</si>
  <si>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</si>
  <si>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</si>
  <si>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</si>
  <si>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</si>
  <si>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</si>
  <si>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</si>
  <si>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</si>
  <si>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</si>
  <si>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</si>
  <si>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</si>
  <si>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</si>
  <si>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</si>
  <si>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</si>
  <si>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</si>
  <si>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</si>
  <si>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</si>
  <si>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</si>
  <si>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</si>
  <si>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</si>
  <si>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</si>
  <si>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</si>
  <si>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</si>
  <si>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</si>
  <si>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</si>
  <si>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</si>
  <si>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</si>
  <si>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</si>
  <si>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</si>
  <si>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</si>
  <si>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</si>
  <si>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</si>
  <si>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</si>
  <si>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</si>
  <si>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</si>
  <si>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</si>
  <si>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</si>
  <si>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</si>
  <si>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</si>
  <si>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</si>
  <si>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</si>
  <si>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</si>
  <si>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</si>
  <si>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</si>
  <si>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</si>
  <si>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</si>
  <si>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</si>
  <si>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</si>
  <si>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</si>
  <si>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</si>
  <si>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</si>
  <si>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</si>
  <si>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</si>
  <si>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</si>
  <si>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</si>
  <si>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</si>
  <si>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</si>
  <si>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</si>
  <si>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</si>
  <si>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</si>
  <si>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</si>
  <si>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</si>
  <si>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</si>
  <si>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</si>
  <si>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</si>
  <si>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</si>
  <si>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</si>
  <si>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</si>
  <si>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</si>
  <si>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</si>
  <si>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</si>
  <si>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</si>
  <si>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</si>
  <si>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</si>
  <si>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</si>
  <si>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</si>
  <si>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</si>
  <si>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</si>
  <si>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</si>
  <si>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</si>
  <si>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</si>
  <si>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</si>
  <si>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</si>
  <si>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</si>
  <si>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</si>
  <si>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</si>
  <si>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</si>
  <si>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</si>
  <si>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</si>
  <si>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</si>
  <si>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</si>
  <si>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</si>
  <si>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</si>
  <si>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</si>
  <si>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</si>
  <si>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</si>
  <si>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</si>
  <si>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</si>
  <si>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</si>
  <si>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</si>
  <si>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</si>
  <si>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</si>
  <si>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</si>
  <si>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</si>
  <si>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</si>
  <si>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</si>
  <si>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</si>
  <si>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</si>
  <si>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</si>
  <si>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</si>
  <si>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</si>
  <si>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</si>
  <si>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</si>
  <si>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</si>
  <si>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</si>
  <si>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</si>
  <si>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</si>
  <si>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</si>
  <si>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</si>
  <si>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</si>
  <si>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</si>
  <si>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</si>
  <si>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</si>
  <si>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</si>
  <si>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</si>
  <si>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</si>
  <si>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</si>
  <si>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</si>
  <si>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</si>
  <si>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</si>
  <si>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</si>
  <si>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</si>
  <si>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</si>
  <si>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</si>
  <si>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</si>
  <si>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</si>
  <si>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</si>
  <si>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</si>
  <si>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</si>
  <si>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</si>
  <si>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</si>
  <si>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</si>
  <si>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</si>
  <si>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</si>
  <si>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</si>
  <si>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</si>
  <si>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</si>
  <si>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</si>
  <si>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</si>
  <si>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</si>
  <si>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</si>
  <si>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</si>
  <si>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</si>
  <si>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</si>
  <si>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</si>
  <si>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</si>
  <si>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</si>
  <si>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</si>
  <si>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</si>
  <si>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</si>
  <si>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</si>
  <si>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</si>
  <si>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</si>
  <si>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</si>
  <si>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</si>
  <si>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</si>
  <si>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</si>
  <si>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</si>
  <si>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</si>
  <si>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</si>
  <si>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</si>
  <si>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</si>
  <si>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</si>
  <si>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</si>
  <si>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</si>
  <si>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</si>
  <si>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</si>
  <si>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</si>
  <si>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</si>
  <si>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</si>
  <si>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</si>
  <si>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</si>
  <si>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</si>
  <si>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</si>
  <si>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</si>
  <si>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</si>
  <si>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</si>
  <si>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</si>
  <si>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</si>
  <si>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</si>
  <si>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</si>
  <si>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</si>
  <si>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</si>
  <si>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</si>
  <si>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</si>
  <si>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</si>
  <si>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</si>
  <si>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</si>
  <si>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</si>
  <si>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</si>
  <si>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</si>
  <si>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</si>
  <si>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</si>
  <si>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</si>
  <si>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</si>
  <si>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</si>
  <si>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</si>
  <si>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</si>
  <si>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</si>
  <si>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</si>
  <si>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</si>
  <si>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</si>
  <si>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</si>
  <si>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</si>
  <si>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</si>
  <si>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</si>
  <si>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</si>
  <si>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</si>
  <si>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</si>
  <si>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</si>
  <si>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</si>
  <si>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</si>
  <si>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</si>
  <si>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</si>
  <si>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</si>
  <si>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</si>
  <si>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</si>
  <si>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</si>
  <si>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</si>
  <si>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</si>
  <si>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</si>
  <si>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</si>
  <si>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</si>
  <si>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</si>
  <si>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</si>
  <si>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</si>
  <si>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</si>
  <si>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</si>
  <si>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</si>
  <si>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</si>
  <si>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</si>
  <si>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</si>
  <si>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</si>
  <si>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</si>
  <si>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</si>
  <si>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</si>
  <si>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</si>
  <si>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</si>
  <si>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</si>
  <si>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</si>
  <si>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</si>
  <si>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</si>
  <si>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</si>
  <si>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</si>
  <si>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</si>
  <si>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</si>
  <si>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</si>
  <si>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</si>
  <si>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</si>
  <si>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</si>
  <si>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</si>
  <si>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</si>
  <si>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</si>
  <si>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</si>
  <si>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</si>
  <si>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</si>
  <si>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</si>
  <si>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</si>
  <si>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</si>
  <si>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</si>
  <si>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</si>
  <si>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</si>
  <si>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</si>
  <si>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</si>
  <si>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</si>
  <si>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</si>
  <si>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</si>
  <si>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</si>
  <si>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</si>
  <si>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</si>
  <si>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</si>
  <si>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</si>
  <si>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</si>
  <si>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</si>
  <si>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</si>
  <si>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</si>
  <si>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</si>
  <si>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</si>
  <si>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</si>
  <si>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</si>
  <si>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</si>
  <si>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</si>
  <si>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</si>
  <si>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</si>
  <si>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</si>
  <si>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</si>
  <si>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</si>
  <si>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</si>
  <si>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</si>
  <si>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</si>
  <si>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</si>
  <si>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</si>
  <si>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</si>
  <si>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</si>
  <si>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</si>
  <si>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</si>
  <si>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</si>
  <si>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</si>
  <si>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</si>
  <si>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</si>
  <si>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</si>
  <si>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</si>
  <si>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</si>
  <si>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</si>
  <si>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</si>
  <si>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</si>
  <si>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</si>
  <si>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</si>
  <si>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</si>
  <si>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</si>
  <si>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</si>
  <si>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</si>
  <si>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</si>
  <si>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</si>
  <si>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</si>
  <si>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</si>
  <si>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</si>
  <si>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</si>
  <si>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</si>
  <si>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</si>
  <si>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</si>
  <si>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</si>
  <si>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</si>
  <si>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</si>
  <si>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</si>
  <si>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</si>
  <si>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</si>
  <si>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</si>
  <si>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</si>
  <si>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</si>
  <si>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</si>
  <si>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</si>
  <si>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</si>
  <si>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</si>
  <si>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</si>
  <si>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</si>
  <si>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</si>
  <si>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</si>
  <si>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</si>
  <si>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</si>
  <si>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</si>
  <si>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</si>
  <si>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</si>
  <si>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</si>
  <si>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</si>
  <si>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</si>
  <si>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</si>
  <si>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</si>
  <si>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</si>
  <si>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</si>
  <si>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</si>
  <si>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</si>
  <si>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</si>
  <si>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</si>
  <si>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</si>
  <si>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</si>
  <si>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</si>
  <si>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</si>
  <si>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</si>
  <si>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</si>
  <si>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</si>
  <si>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</si>
  <si>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</si>
  <si>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</si>
  <si>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</si>
  <si>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</si>
  <si>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</si>
  <si>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</si>
  <si>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</si>
  <si>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</si>
  <si>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</si>
  <si>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</si>
  <si>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</si>
  <si>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</si>
  <si>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</si>
  <si>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</si>
  <si>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</si>
  <si>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</si>
  <si>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</si>
  <si>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</si>
  <si>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</si>
  <si>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</si>
  <si>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</si>
  <si>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</si>
  <si>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</si>
  <si>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</si>
  <si>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</si>
  <si>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</si>
  <si>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</si>
  <si>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</si>
  <si>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</si>
  <si>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</si>
  <si>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</si>
  <si>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</si>
  <si>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</si>
  <si>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</si>
  <si>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</si>
  <si>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</si>
  <si>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</si>
  <si>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</si>
  <si>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</si>
  <si>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</si>
  <si>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</si>
  <si>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</si>
  <si>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</si>
  <si>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</si>
  <si>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</si>
  <si>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</si>
  <si>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</si>
  <si>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</si>
  <si>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</si>
  <si>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</si>
  <si>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</si>
  <si>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</si>
  <si>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</si>
  <si>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</si>
  <si>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</si>
  <si>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</si>
  <si>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</si>
  <si>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</si>
  <si>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</si>
  <si>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</si>
  <si>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</si>
  <si>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</si>
  <si>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</si>
  <si>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</si>
  <si>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</si>
  <si>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</si>
  <si>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</si>
  <si>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</si>
  <si>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</si>
  <si>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</si>
  <si>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</si>
  <si>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</si>
  <si>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</si>
  <si>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</si>
  <si>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</si>
  <si>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</si>
  <si>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</si>
  <si>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</si>
  <si>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</si>
  <si>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</si>
  <si>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</si>
  <si>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</si>
  <si>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</si>
  <si>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</si>
  <si>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</si>
  <si>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</si>
  <si>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</si>
  <si>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</si>
  <si>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</si>
  <si>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</si>
  <si>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</si>
  <si>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</si>
  <si>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</si>
  <si>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</si>
  <si>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</si>
  <si>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</si>
  <si>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</si>
  <si>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</si>
  <si>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</si>
  <si>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</si>
  <si>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</si>
  <si>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</si>
  <si>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</si>
  <si>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</si>
  <si>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</si>
  <si>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</si>
  <si>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</si>
  <si>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</si>
  <si>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</si>
  <si>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</si>
  <si>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</si>
  <si>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</si>
  <si>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</si>
  <si>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</si>
  <si>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</si>
  <si>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</si>
  <si>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</si>
  <si>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</si>
  <si>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</si>
  <si>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</si>
  <si>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</si>
  <si>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</si>
  <si>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</si>
  <si>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</si>
  <si>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</si>
  <si>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</si>
  <si>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</si>
  <si>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</si>
  <si>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</si>
  <si>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</si>
  <si>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</si>
  <si>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</si>
  <si>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</si>
  <si>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</si>
  <si>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</si>
  <si>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</si>
  <si>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</si>
  <si>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</si>
  <si>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</si>
  <si>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</si>
  <si>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</si>
  <si>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</si>
  <si>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</si>
  <si>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</si>
  <si>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</si>
  <si>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</si>
  <si>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</si>
  <si>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</si>
  <si>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</si>
  <si>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</si>
  <si>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</si>
  <si>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</si>
  <si>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</si>
  <si>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</si>
  <si>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</si>
  <si>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</si>
  <si>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</si>
  <si>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</si>
  <si>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</si>
  <si>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</si>
  <si>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</si>
  <si>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</si>
  <si>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</si>
  <si>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</si>
  <si>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</si>
  <si>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</si>
  <si>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</si>
  <si>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</si>
  <si>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</si>
  <si>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</si>
  <si>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</si>
  <si>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</si>
  <si>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</si>
  <si>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</si>
  <si>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</si>
  <si>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</si>
  <si>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</si>
  <si>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</si>
  <si>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</si>
  <si>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</si>
  <si>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</si>
  <si>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</si>
  <si>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</si>
  <si>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</si>
  <si>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</si>
  <si>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</si>
  <si>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</si>
  <si>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</si>
  <si>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</si>
  <si>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</si>
  <si>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</si>
  <si>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</si>
  <si>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</si>
  <si>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</si>
  <si>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</si>
  <si>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</si>
  <si>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</si>
  <si>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</si>
  <si>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</si>
  <si>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</si>
  <si>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</si>
  <si>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</si>
  <si>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</si>
  <si>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</si>
  <si>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</si>
  <si>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</si>
  <si>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</si>
  <si>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</si>
  <si>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</si>
  <si>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</si>
  <si>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</si>
  <si>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</si>
  <si>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</si>
  <si>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</si>
  <si>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</si>
  <si>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</si>
  <si>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</si>
  <si>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</si>
  <si>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</si>
  <si>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</si>
  <si>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</si>
  <si>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</si>
  <si>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</si>
  <si>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</si>
  <si>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</si>
  <si>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</si>
  <si>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</si>
  <si>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</si>
  <si>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</si>
  <si>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</si>
  <si>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</si>
  <si>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</si>
  <si>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</si>
  <si>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</si>
  <si>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</si>
  <si>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</si>
  <si>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</si>
  <si>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</si>
  <si>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</si>
  <si>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</si>
  <si>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</si>
  <si>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</si>
  <si>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</si>
  <si>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</si>
  <si>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</si>
  <si>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</si>
  <si>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</si>
  <si>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</si>
  <si>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</si>
  <si>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</si>
  <si>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</si>
  <si>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</si>
  <si>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</si>
  <si>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</si>
  <si>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</si>
  <si>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</si>
  <si>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</si>
  <si>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</si>
  <si>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</si>
  <si>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</si>
  <si>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</si>
  <si>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</si>
  <si>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</si>
  <si>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</si>
  <si>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</si>
  <si>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</si>
  <si>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</si>
  <si>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</si>
  <si>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</si>
  <si>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</si>
  <si>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</si>
  <si>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</si>
  <si>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</si>
  <si>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</si>
  <si>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</si>
  <si>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</si>
  <si>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</si>
  <si>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</si>
  <si>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</si>
  <si>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</si>
  <si>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</si>
  <si>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</si>
  <si>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</si>
  <si>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</si>
  <si>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</si>
  <si>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</si>
  <si>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</si>
  <si>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</si>
  <si>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</si>
  <si>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</si>
  <si>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</si>
  <si>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</si>
  <si>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</si>
  <si>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</si>
  <si>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</si>
  <si>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</si>
  <si>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</si>
  <si>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</si>
  <si>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</si>
  <si>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</si>
  <si>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</si>
  <si>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</si>
  <si>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</si>
  <si>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</si>
  <si>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</si>
  <si>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</si>
  <si>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</si>
  <si>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</si>
  <si>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</si>
  <si>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</si>
  <si>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</si>
  <si>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</si>
  <si>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</si>
  <si>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</si>
  <si>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</si>
  <si>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</si>
  <si>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</si>
  <si>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</si>
  <si>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</si>
  <si>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</si>
  <si>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</si>
  <si>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</si>
  <si>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</si>
  <si>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</si>
  <si>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</si>
  <si>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</si>
  <si>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</si>
  <si>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</si>
  <si>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</si>
  <si>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</si>
  <si>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</si>
  <si>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</si>
  <si>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</si>
  <si>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</si>
  <si>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</si>
  <si>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</si>
  <si>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</si>
  <si>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</si>
  <si>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</si>
  <si>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</si>
  <si>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</si>
  <si>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</si>
  <si>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</si>
  <si>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</si>
  <si>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</si>
  <si>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</si>
  <si>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</si>
  <si>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</si>
  <si>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</si>
  <si>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</si>
  <si>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</si>
  <si>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</si>
  <si>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</si>
  <si>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</si>
  <si>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</si>
  <si>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</si>
  <si>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</si>
  <si>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</si>
  <si>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</si>
  <si>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</si>
  <si>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</si>
  <si>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</si>
  <si>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</si>
  <si>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</si>
  <si>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</si>
  <si>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</si>
  <si>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</si>
  <si>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</si>
  <si>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</si>
  <si>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</si>
  <si>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</si>
  <si>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</si>
  <si>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</si>
  <si>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</si>
  <si>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</si>
  <si>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</si>
  <si>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</si>
  <si>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</si>
  <si>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</si>
  <si>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</si>
  <si>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</si>
  <si>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</si>
  <si>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</si>
  <si>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</si>
  <si>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</si>
  <si>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</si>
  <si>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</si>
  <si>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</si>
  <si>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</si>
  <si>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</si>
  <si>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</si>
  <si>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</si>
  <si>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</si>
  <si>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</si>
  <si>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</si>
  <si>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</si>
  <si>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</si>
  <si>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</si>
  <si>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</si>
  <si>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</si>
  <si>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</si>
  <si>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</si>
  <si>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</si>
  <si>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</si>
  <si>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</si>
  <si>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</si>
  <si>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</si>
  <si>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</si>
  <si>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</si>
  <si>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</si>
  <si>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</si>
  <si>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</si>
  <si>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</si>
  <si>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</si>
  <si>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</si>
  <si>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</si>
  <si>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</si>
  <si>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</si>
  <si>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</si>
  <si>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</si>
  <si>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</si>
  <si>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</si>
  <si>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</si>
  <si>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</si>
  <si>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</si>
  <si>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</si>
  <si>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</si>
  <si>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</si>
  <si>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</si>
  <si>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</si>
  <si>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</si>
  <si>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</si>
  <si>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</si>
  <si>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</si>
  <si>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</si>
  <si>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</si>
  <si>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</si>
  <si>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</si>
  <si>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</si>
  <si>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</si>
  <si>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</si>
  <si>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</si>
  <si>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</si>
  <si>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</si>
  <si>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</si>
  <si>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</si>
  <si>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</si>
  <si>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</si>
  <si>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</si>
  <si>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</si>
  <si>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</si>
  <si>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</si>
  <si>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</si>
  <si>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</si>
  <si>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</si>
  <si>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</si>
  <si>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</si>
  <si>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</si>
  <si>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</si>
  <si>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</si>
  <si>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</si>
  <si>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</si>
  <si>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</si>
  <si>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</si>
  <si>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</si>
  <si>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</si>
  <si>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</si>
  <si>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</si>
  <si>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</si>
  <si>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</si>
  <si>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</si>
  <si>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</si>
  <si>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</si>
  <si>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</si>
  <si>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</si>
  <si>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</si>
  <si>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</si>
  <si>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</si>
  <si>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</si>
  <si>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</si>
  <si>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</si>
  <si>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</si>
  <si>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</si>
  <si>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</si>
  <si>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</si>
  <si>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</si>
  <si>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</si>
  <si>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</si>
  <si>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</si>
  <si>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</si>
  <si>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</si>
  <si>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</si>
  <si>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</si>
  <si>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</si>
  <si>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</si>
  <si>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</si>
  <si>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</si>
  <si>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</si>
  <si>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</si>
  <si>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</si>
  <si>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</si>
  <si>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</si>
  <si>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</si>
  <si>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</si>
  <si>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</si>
  <si>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</si>
  <si>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</si>
  <si>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</si>
  <si>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</si>
  <si>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</si>
  <si>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</si>
  <si>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</si>
  <si>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</si>
  <si>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</si>
  <si>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</si>
  <si>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</si>
  <si>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</si>
  <si>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</si>
  <si>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</si>
  <si>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</si>
  <si>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</si>
  <si>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</si>
  <si>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</si>
  <si>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</si>
  <si>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</si>
  <si>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</si>
  <si>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</si>
  <si>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</si>
  <si>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</si>
  <si>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</si>
  <si>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</si>
  <si>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</si>
  <si>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</si>
  <si>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</si>
  <si>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</si>
  <si>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</si>
  <si>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</si>
  <si>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</si>
  <si>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</si>
  <si>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</si>
  <si>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</si>
  <si>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</si>
  <si>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</si>
  <si>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</si>
  <si>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</si>
  <si>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</si>
  <si>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</si>
  <si>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</si>
  <si>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</si>
  <si>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</si>
  <si>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</si>
  <si>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</si>
  <si>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</si>
  <si>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</si>
  <si>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</si>
  <si>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</si>
  <si>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</si>
  <si>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</si>
  <si>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</si>
  <si>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</si>
  <si>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</si>
  <si>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</si>
  <si>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</si>
  <si>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</si>
  <si>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</si>
  <si>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</si>
  <si>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</si>
  <si>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</si>
  <si>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</si>
  <si>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</si>
  <si>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</si>
  <si>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</si>
  <si>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</si>
  <si>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</si>
  <si>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</si>
  <si>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</si>
  <si>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</si>
  <si>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</si>
  <si>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</si>
  <si>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</si>
  <si>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</si>
  <si>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</si>
  <si>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</si>
  <si>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</si>
  <si>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</si>
  <si>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</si>
  <si>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</si>
  <si>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</si>
  <si>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</si>
  <si>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</si>
  <si>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</si>
  <si>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</si>
  <si>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</si>
  <si>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</si>
  <si>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</si>
  <si>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</si>
  <si>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</si>
  <si>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</si>
  <si>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</si>
  <si>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</si>
  <si>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</si>
  <si>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</si>
  <si>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</si>
  <si>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</si>
  <si>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</si>
  <si>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</si>
  <si>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</si>
  <si>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</si>
  <si>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</si>
  <si>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</si>
  <si>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</si>
  <si>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</si>
  <si>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</si>
  <si>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</si>
  <si>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</si>
  <si>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</si>
  <si>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</si>
  <si>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</si>
  <si>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</si>
  <si>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</si>
  <si>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</si>
  <si>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</si>
  <si>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</si>
  <si>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</si>
  <si>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</si>
  <si>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</si>
  <si>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</si>
  <si>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</si>
  <si>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</si>
  <si>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</si>
  <si>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</si>
  <si>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</si>
  <si>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</si>
  <si>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</si>
  <si>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</si>
  <si>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</si>
  <si>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</si>
  <si>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</si>
  <si>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</si>
  <si>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</si>
  <si>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</si>
  <si>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</si>
  <si>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</si>
  <si>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</si>
  <si>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</si>
  <si>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</si>
  <si>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</si>
  <si>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</si>
  <si>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</si>
  <si>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</si>
  <si>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</si>
  <si>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</si>
  <si>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</si>
  <si>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</si>
  <si>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</si>
  <si>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</si>
  <si>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</si>
  <si>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</si>
  <si>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</si>
  <si>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</si>
  <si>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</si>
  <si>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</si>
  <si>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</si>
  <si>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</si>
  <si>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</si>
  <si>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</si>
  <si>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</si>
  <si>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</si>
  <si>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</si>
  <si>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</si>
  <si>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</si>
  <si>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</si>
  <si>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</si>
  <si>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</si>
  <si>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</si>
  <si>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</si>
  <si>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</si>
  <si>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</si>
  <si>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</si>
  <si>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</si>
  <si>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</si>
  <si>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</si>
  <si>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</si>
  <si>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</si>
  <si>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</si>
  <si>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</si>
  <si>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</si>
  <si>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</si>
  <si>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</si>
  <si>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</si>
  <si>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</si>
  <si>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</si>
  <si>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</si>
  <si>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</si>
  <si>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</si>
  <si>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</si>
  <si>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</si>
  <si>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</si>
  <si>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</si>
  <si>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</si>
  <si>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</si>
  <si>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</si>
  <si>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</si>
  <si>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</si>
  <si>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</si>
  <si>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</si>
  <si>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</si>
  <si>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</si>
  <si>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</si>
  <si>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</si>
  <si>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</si>
  <si>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</si>
  <si>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</si>
  <si>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</si>
  <si>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</si>
  <si>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</si>
  <si>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</si>
  <si>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</si>
  <si>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</si>
  <si>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</si>
  <si>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</si>
  <si>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</si>
  <si>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</si>
  <si>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</si>
  <si>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</si>
  <si>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</si>
  <si>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</si>
  <si>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</si>
  <si>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</si>
  <si>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</si>
  <si>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</si>
  <si>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</si>
  <si>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</si>
  <si>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</si>
  <si>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</si>
  <si>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</si>
  <si>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</si>
  <si>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</si>
  <si>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</si>
  <si>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</si>
  <si>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</si>
  <si>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</si>
  <si>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</si>
  <si>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</si>
  <si>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</si>
  <si>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</si>
  <si>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</si>
  <si>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</si>
  <si>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</si>
  <si>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</si>
  <si>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</si>
  <si>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</si>
  <si>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</si>
  <si>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</si>
  <si>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</si>
  <si>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</si>
  <si>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</si>
  <si>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</si>
  <si>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</si>
  <si>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</si>
  <si>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</si>
  <si>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</si>
  <si>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</si>
  <si>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</si>
  <si>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</si>
  <si>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</si>
  <si>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</si>
  <si>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</si>
  <si>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</si>
  <si>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</si>
  <si>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</si>
  <si>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</si>
  <si>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</si>
  <si>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</si>
  <si>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</si>
  <si>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</si>
  <si>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</si>
  <si>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</si>
  <si>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</si>
  <si>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</si>
  <si>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</si>
  <si>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</si>
  <si>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</si>
  <si>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</si>
  <si>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</si>
  <si>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</si>
  <si>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</si>
  <si>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</si>
  <si>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</si>
  <si>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</si>
  <si>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</si>
  <si>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</si>
  <si>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</si>
  <si>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</si>
  <si>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</si>
  <si>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</si>
  <si>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</si>
  <si>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</si>
  <si>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</si>
  <si>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</si>
  <si>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</si>
  <si>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</si>
  <si>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</si>
  <si>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</si>
  <si>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</si>
  <si>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</si>
  <si>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</si>
  <si>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</si>
  <si>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</si>
  <si>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</si>
  <si>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</si>
  <si>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</si>
  <si>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</si>
  <si>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</si>
  <si>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</si>
  <si>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</si>
  <si>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</si>
  <si>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</si>
  <si>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</si>
  <si>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</si>
  <si>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</si>
  <si>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</si>
  <si>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</si>
  <si>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</si>
  <si>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</si>
  <si>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</si>
  <si>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</si>
  <si>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</si>
  <si>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</si>
  <si>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</si>
  <si>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</si>
  <si>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</si>
  <si>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</si>
  <si>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</si>
  <si>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</si>
  <si>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</si>
  <si>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</si>
  <si>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</si>
  <si>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</si>
  <si>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</si>
  <si>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</si>
  <si>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</si>
  <si>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</si>
  <si>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</si>
  <si>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</si>
  <si>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</si>
  <si>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</si>
  <si>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</si>
  <si>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</si>
  <si>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</si>
  <si>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</si>
  <si>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</si>
  <si>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</si>
  <si>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</si>
  <si>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</si>
  <si>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</si>
  <si>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</si>
  <si>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</si>
  <si>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</si>
  <si>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</si>
  <si>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</si>
  <si>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</si>
  <si>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</si>
  <si>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</si>
  <si>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</si>
  <si>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</si>
  <si>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</si>
  <si>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</si>
  <si>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</si>
  <si>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</si>
  <si>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</si>
  <si>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</si>
  <si>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</si>
  <si>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</si>
  <si>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</si>
  <si>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</si>
  <si>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</si>
  <si>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</si>
  <si>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</si>
  <si>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</si>
  <si>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</si>
  <si>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</si>
  <si>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</si>
  <si>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</si>
  <si>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</si>
  <si>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</si>
  <si>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</si>
  <si>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</si>
  <si>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</si>
  <si>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</si>
  <si>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</si>
  <si>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</si>
  <si>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</si>
  <si>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</si>
  <si>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</si>
  <si>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</si>
  <si>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</si>
  <si>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</si>
  <si>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</si>
  <si>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</si>
  <si>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</si>
  <si>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</si>
  <si>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</si>
  <si>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</si>
  <si>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</si>
  <si>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</si>
  <si>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</si>
  <si>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</si>
  <si>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</si>
  <si>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</si>
  <si>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</si>
  <si>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</si>
  <si>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</si>
  <si>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</si>
  <si>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</si>
  <si>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</si>
  <si>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</si>
  <si>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</si>
  <si>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</si>
  <si>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</si>
  <si>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</si>
  <si>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</si>
  <si>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</si>
  <si>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</si>
  <si>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</si>
  <si>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</si>
  <si>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</si>
  <si>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</si>
  <si>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</si>
  <si>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</si>
  <si>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</si>
  <si>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</si>
  <si>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</si>
  <si>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</si>
  <si>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</si>
  <si>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</si>
  <si>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</si>
  <si>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</si>
  <si>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</si>
  <si>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</si>
  <si>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</si>
  <si>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</si>
  <si>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</si>
  <si>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</si>
  <si>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</si>
  <si>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</si>
  <si>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</si>
  <si>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</si>
  <si>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</si>
  <si>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</si>
  <si>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</si>
  <si>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</si>
  <si>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</si>
  <si>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</si>
  <si>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</si>
  <si>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</si>
  <si>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</si>
  <si>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</si>
  <si>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</si>
  <si>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</si>
  <si>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</si>
  <si>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</si>
  <si>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</si>
  <si>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</si>
  <si>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</si>
  <si>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</si>
  <si>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</si>
  <si>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</si>
  <si>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</si>
  <si>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</si>
  <si>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</si>
  <si>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</si>
  <si>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</si>
  <si>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</si>
  <si>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</si>
  <si>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</si>
  <si>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</si>
  <si>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</si>
  <si>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</si>
  <si>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</si>
  <si>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</si>
  <si>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</si>
  <si>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</si>
  <si>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</si>
  <si>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</si>
  <si>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</si>
  <si>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</si>
  <si>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</si>
  <si>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</si>
  <si>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</si>
  <si>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</si>
  <si>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</si>
  <si>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</si>
  <si>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</si>
  <si>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</si>
  <si>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</si>
  <si>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</si>
  <si>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</si>
  <si>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</si>
  <si>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</si>
  <si>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</si>
  <si>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</si>
  <si>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</si>
  <si>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</si>
  <si>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</si>
  <si>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</si>
  <si>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</si>
  <si>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</si>
  <si>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</si>
  <si>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</si>
  <si>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</si>
  <si>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</si>
  <si>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</si>
  <si>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</si>
  <si>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</si>
  <si>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</si>
  <si>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</si>
  <si>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</si>
  <si>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</si>
  <si>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</si>
  <si>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</si>
  <si>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</si>
  <si>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</si>
  <si>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</si>
  <si>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</si>
  <si>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</si>
  <si>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</si>
  <si>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</si>
  <si>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</si>
  <si>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</si>
  <si>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</si>
  <si>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</si>
  <si>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</si>
  <si>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</si>
  <si>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</si>
  <si>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</si>
  <si>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</si>
  <si>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</si>
  <si>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</si>
  <si>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</si>
  <si>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</si>
  <si>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</si>
  <si>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</si>
  <si>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</si>
  <si>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</si>
  <si>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</si>
  <si>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</si>
  <si>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</si>
  <si>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</si>
  <si>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</si>
  <si>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</si>
  <si>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</si>
  <si>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</si>
  <si>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</si>
  <si>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</si>
  <si>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</si>
  <si>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</si>
  <si>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</si>
  <si>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</si>
  <si>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</si>
  <si>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</si>
  <si>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</si>
  <si>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</si>
  <si>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</si>
  <si>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</si>
  <si>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</si>
  <si>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</si>
  <si>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</si>
  <si>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</si>
  <si>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</si>
  <si>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</si>
  <si>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</si>
  <si>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</si>
  <si>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</si>
  <si>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</si>
  <si>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</si>
  <si>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</si>
  <si>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</si>
  <si>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</si>
  <si>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</si>
  <si>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</si>
  <si>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</si>
  <si>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</si>
  <si>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</si>
  <si>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</si>
  <si>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</si>
  <si>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</si>
  <si>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</si>
  <si>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</si>
  <si>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</si>
  <si>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</si>
  <si>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</si>
  <si>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</si>
  <si>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</si>
  <si>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</si>
  <si>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</si>
  <si>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</si>
  <si>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</si>
  <si>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</si>
  <si>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</si>
  <si>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</si>
  <si>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</si>
  <si>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</si>
  <si>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</si>
  <si>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</si>
  <si>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</si>
  <si>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</si>
  <si>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</si>
  <si>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</si>
  <si>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</si>
  <si>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</si>
  <si>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</si>
  <si>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</si>
  <si>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</si>
  <si>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</si>
  <si>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</si>
  <si>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</si>
  <si>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</si>
  <si>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</si>
  <si>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</si>
  <si>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</si>
  <si>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</si>
  <si>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</si>
  <si>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</si>
  <si>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</si>
  <si>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</si>
  <si>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</si>
  <si>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</si>
  <si>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</si>
  <si>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</si>
  <si>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</si>
  <si>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</si>
  <si>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</si>
  <si>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</si>
  <si>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</si>
  <si>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</si>
  <si>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</si>
  <si>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</si>
  <si>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</si>
  <si>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</si>
  <si>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</si>
  <si>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</si>
  <si>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</si>
  <si>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</si>
  <si>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</si>
  <si>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</si>
  <si>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</si>
  <si>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</si>
  <si>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</si>
  <si>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</si>
  <si>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</si>
  <si>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</si>
  <si>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</si>
  <si>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</si>
  <si>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</si>
  <si>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</si>
  <si>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</si>
  <si>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</si>
  <si>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</si>
  <si>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</si>
  <si>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</si>
  <si>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</si>
  <si>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</si>
  <si>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</si>
  <si>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</si>
  <si>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</si>
  <si>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</si>
  <si>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</si>
  <si>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</si>
  <si>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</si>
  <si>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</si>
  <si>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</si>
  <si>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</si>
  <si>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</si>
  <si>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</si>
  <si>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</si>
  <si>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</si>
  <si>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</si>
  <si>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</si>
  <si>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</si>
  <si>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</si>
  <si>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</si>
  <si>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</si>
  <si>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</si>
  <si>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</si>
  <si>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</si>
  <si>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</si>
  <si>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</si>
  <si>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</si>
  <si>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</si>
  <si>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</si>
  <si>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</si>
  <si>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</si>
  <si>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</si>
  <si>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</si>
  <si>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</si>
  <si>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</si>
  <si>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</si>
  <si>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</si>
  <si>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</si>
  <si>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</si>
  <si>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</si>
  <si>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</si>
  <si>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</si>
  <si>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</si>
  <si>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</si>
  <si>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</si>
  <si>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</si>
  <si>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</si>
  <si>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</si>
  <si>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</si>
  <si>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</si>
  <si>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</si>
  <si>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</si>
  <si>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</si>
  <si>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</si>
  <si>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</si>
  <si>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</si>
  <si>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</si>
  <si>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</si>
  <si>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</si>
  <si>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</si>
  <si>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</si>
  <si>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</si>
  <si>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</si>
  <si>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</si>
  <si>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</si>
  <si>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</si>
  <si>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</si>
  <si>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</si>
  <si>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</si>
  <si>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</si>
  <si>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</si>
  <si>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</si>
  <si>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</si>
  <si>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</si>
  <si>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</si>
  <si>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</si>
  <si>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</si>
  <si>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</si>
  <si>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</si>
  <si>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</si>
  <si>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</si>
  <si>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</si>
  <si>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</si>
  <si>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</si>
  <si>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</si>
  <si>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</si>
  <si>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</si>
  <si>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</si>
  <si>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</si>
  <si>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</si>
  <si>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</si>
  <si>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</si>
  <si>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</si>
  <si>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</si>
  <si>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</si>
  <si>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</si>
  <si>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</si>
  <si>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</si>
  <si>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</si>
  <si>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</si>
  <si>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</si>
  <si>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</si>
  <si>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</si>
  <si>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</si>
  <si>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</si>
  <si>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</si>
  <si>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</si>
  <si>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</si>
  <si>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</si>
  <si>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</si>
  <si>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</si>
  <si>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</si>
  <si>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</si>
  <si>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</si>
  <si>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</si>
  <si>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</si>
  <si>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</si>
  <si>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</si>
  <si>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</si>
  <si>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</si>
  <si>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</si>
  <si>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</si>
  <si>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</si>
  <si>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</si>
  <si>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</si>
  <si>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</si>
  <si>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</si>
  <si>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</si>
  <si>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</si>
  <si>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</si>
  <si>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</si>
  <si>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</si>
  <si>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</si>
  <si>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</si>
  <si>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</si>
  <si>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</si>
  <si>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</si>
  <si>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</si>
  <si>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</si>
  <si>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</si>
  <si>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</si>
  <si>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</si>
  <si>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</si>
  <si>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</si>
  <si>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</si>
  <si>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</si>
  <si>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</si>
  <si>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</si>
  <si>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</si>
  <si>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</si>
  <si>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</si>
  <si>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</si>
  <si>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</si>
  <si>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</si>
  <si>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</si>
  <si>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</si>
  <si>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</si>
  <si>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</si>
  <si>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</si>
  <si>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</si>
  <si>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</si>
  <si>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</si>
  <si>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</si>
  <si>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</si>
  <si>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</si>
  <si>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</si>
  <si>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</si>
  <si>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</si>
  <si>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</si>
  <si>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</si>
  <si>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</si>
  <si>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</si>
  <si>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</si>
  <si>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</si>
  <si>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</si>
  <si>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</si>
  <si>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</si>
  <si>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</si>
  <si>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</si>
  <si>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</si>
  <si>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</si>
  <si>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</si>
  <si>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</si>
  <si>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</si>
  <si>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</si>
  <si>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</si>
  <si>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</si>
  <si>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</si>
  <si>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</si>
  <si>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</si>
  <si>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</si>
  <si>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</si>
  <si>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</si>
  <si>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</si>
  <si>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</si>
  <si>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</si>
  <si>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</si>
  <si>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</si>
  <si>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</si>
  <si>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</si>
  <si>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</si>
  <si>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</si>
  <si>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</si>
  <si>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</si>
  <si>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</si>
  <si>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</si>
  <si>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</si>
  <si>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</si>
  <si>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</si>
  <si>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</si>
  <si>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</si>
  <si>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</si>
  <si>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</si>
  <si>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</si>
  <si>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</si>
  <si>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</si>
  <si>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</si>
  <si>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</si>
  <si>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</si>
  <si>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</si>
  <si>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</si>
  <si>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</si>
  <si>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</si>
  <si>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</si>
  <si>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</si>
  <si>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</si>
  <si>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</si>
  <si>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</si>
  <si>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</si>
  <si>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</si>
  <si>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</si>
  <si>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</si>
  <si>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</si>
  <si>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</si>
  <si>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</si>
  <si>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</si>
  <si>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</si>
  <si>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</si>
  <si>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</si>
  <si>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</si>
  <si>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</si>
  <si>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</si>
  <si>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</si>
  <si>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</si>
  <si>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</si>
  <si>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</si>
  <si>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</si>
  <si>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</si>
  <si>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</si>
  <si>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</si>
  <si>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</si>
  <si>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</si>
  <si>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</si>
  <si>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</si>
  <si>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</si>
  <si>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</si>
  <si>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</si>
  <si>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</si>
  <si>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</si>
  <si>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</si>
  <si>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</si>
  <si>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</si>
  <si>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</si>
  <si>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</si>
  <si>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</si>
  <si>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</si>
  <si>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</si>
  <si>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</si>
  <si>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</si>
  <si>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</si>
  <si>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</si>
  <si>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</si>
  <si>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</si>
  <si>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</si>
  <si>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</si>
  <si>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</si>
  <si>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</si>
  <si>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</si>
  <si>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</si>
  <si>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</si>
  <si>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</si>
  <si>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</si>
  <si>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</si>
  <si>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</si>
  <si>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</si>
  <si>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</si>
  <si>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</si>
  <si>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</si>
  <si>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</si>
  <si>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</si>
  <si>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</si>
  <si>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</si>
  <si>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</si>
  <si>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</si>
  <si>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</si>
  <si>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</si>
  <si>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</si>
  <si>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</si>
  <si>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</si>
  <si>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</si>
  <si>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</si>
  <si>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</si>
  <si>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</si>
  <si>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</si>
  <si>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</si>
  <si>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</si>
  <si>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</si>
  <si>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</si>
  <si>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</si>
  <si>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</si>
  <si>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</si>
  <si>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</si>
  <si>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</si>
  <si>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</si>
  <si>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</si>
  <si>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</si>
  <si>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</si>
  <si>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</si>
  <si>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</si>
  <si>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</si>
  <si>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</si>
  <si>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</si>
  <si>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</si>
  <si>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</si>
  <si>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</si>
  <si>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</si>
  <si>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</si>
  <si>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</si>
  <si>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</si>
  <si>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</si>
  <si>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</si>
  <si>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</si>
  <si>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</si>
  <si>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</si>
  <si>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</si>
  <si>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</si>
  <si>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</si>
  <si>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</si>
  <si>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</si>
  <si>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</si>
  <si>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</si>
  <si>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</si>
  <si>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</si>
  <si>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Meister, Hilton, Chitwood &amp;  Associates, Inc.</t>
  </si>
  <si>
    <t>Ron Hilton</t>
  </si>
  <si>
    <t>809 W.  Detweiller Drive, Suite 804</t>
  </si>
  <si>
    <t>Peoria</t>
  </si>
  <si>
    <t>IL</t>
  </si>
  <si>
    <t>(309) 683-0441</t>
  </si>
  <si>
    <t>ron.hilton1@comcast.net</t>
  </si>
  <si>
    <t>066-004769</t>
  </si>
  <si>
    <t>x</t>
  </si>
  <si>
    <t>Knox and Warren</t>
  </si>
  <si>
    <t>Galesburg Area Vocational Center</t>
  </si>
  <si>
    <t>1135 W.  Fremont Street</t>
  </si>
  <si>
    <t>dabel@galesburg205.org</t>
  </si>
  <si>
    <t>Dr.  John Asplund</t>
  </si>
  <si>
    <t>jasplund@galesburg205.org</t>
  </si>
  <si>
    <t>309-973-2101</t>
  </si>
  <si>
    <t>309-343-7757</t>
  </si>
  <si>
    <t>(309) 683-0443</t>
  </si>
  <si>
    <t>X</t>
  </si>
  <si>
    <t>23.  These financial statements are issued in a format to comply with regulatory provisions prescribed by the Illinois State Board  of Education, which is a comprehensive basis of accounting other than generally accepted accounting principles.  The effects on the financial statements of the variation between these regulatory practices and accounting principles generally accepted in the United States of America, although not reasonably determinable, are deemed to be material.</t>
  </si>
  <si>
    <t>Galesburg CUSD No. 205 (1)</t>
  </si>
  <si>
    <t>Tuition from participating districts (2)</t>
  </si>
  <si>
    <t>(1) As administrative agent, Galesburg CUSD #205 personnel provide various administrative functions for the Vocational Center including payroll processing,</t>
  </si>
  <si>
    <t xml:space="preserve">       human resource function, cash receipt and disbursement functions.</t>
  </si>
  <si>
    <t>(2) Abingdon HS, Avon HS, Knoxville HS, Monmouth-Roseville HS, ROWVA HS , United HS, West Central HS, and Williamsfield HS</t>
  </si>
  <si>
    <t>Page 13, CTE - Other  - 4799: CTE Perkins - Secondary 4745 - $ 60,106</t>
  </si>
  <si>
    <t>Galesburg</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</si>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</sst>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3">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center"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4"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2" t="s">
        <v>425</v>
      </c>
      <c r="J1" s="2033"/>
      <c r="K1" s="2033"/>
      <c r="L1" s="2033"/>
      <c r="M1" s="2033"/>
      <c r="N1" s="2033"/>
      <c r="O1" s="2033"/>
      <c r="P1" s="2033"/>
      <c r="Q1" s="2033"/>
      <c r="R1" s="2033"/>
      <c r="S1" s="2033"/>
    </row>
    <row r="2" spans="1:28" ht="12" customHeight="1" x14ac:dyDescent="0.2">
      <c r="A2" s="47" t="s">
        <v>1684</v>
      </c>
      <c r="D2" s="48"/>
      <c r="I2" s="2034" t="s">
        <v>1036</v>
      </c>
      <c r="J2" s="2033"/>
      <c r="K2" s="2033"/>
      <c r="L2" s="2033"/>
      <c r="M2" s="2033"/>
      <c r="N2" s="2033"/>
      <c r="O2" s="2033"/>
      <c r="P2" s="2033"/>
      <c r="Q2" s="2033"/>
      <c r="R2" s="2033"/>
      <c r="S2" s="2033"/>
    </row>
    <row r="3" spans="1:28" ht="12" customHeight="1" x14ac:dyDescent="0.2">
      <c r="A3" s="155" t="s">
        <v>1685</v>
      </c>
      <c r="B3" s="156"/>
      <c r="C3" s="156"/>
      <c r="D3" s="157"/>
      <c r="I3" s="2034" t="s">
        <v>54</v>
      </c>
      <c r="J3" s="2033"/>
      <c r="K3" s="2033"/>
      <c r="L3" s="2033"/>
      <c r="M3" s="2033"/>
      <c r="N3" s="2033"/>
      <c r="O3" s="2033"/>
      <c r="P3" s="2033"/>
      <c r="Q3" s="2033"/>
      <c r="R3" s="2033"/>
      <c r="S3" s="2033"/>
    </row>
    <row r="4" spans="1:28" ht="12" customHeight="1" x14ac:dyDescent="0.2">
      <c r="A4" s="37"/>
      <c r="I4" s="2034" t="s">
        <v>545</v>
      </c>
      <c r="J4" s="2033"/>
      <c r="K4" s="2033"/>
      <c r="L4" s="2033"/>
      <c r="M4" s="2033"/>
      <c r="N4" s="2033"/>
      <c r="O4" s="2033"/>
      <c r="P4" s="2033"/>
      <c r="Q4" s="2033"/>
      <c r="R4" s="2033"/>
      <c r="S4" s="2033"/>
    </row>
    <row r="5" spans="1:28" ht="14.1" customHeight="1" x14ac:dyDescent="0.2">
      <c r="B5" s="104"/>
      <c r="C5" s="26" t="s">
        <v>966</v>
      </c>
      <c r="D5" s="84"/>
      <c r="E5" s="84"/>
      <c r="H5" s="38"/>
      <c r="I5" s="2041" t="s">
        <v>701</v>
      </c>
      <c r="J5" s="1986"/>
      <c r="K5" s="1986"/>
      <c r="L5" s="1986"/>
      <c r="M5" s="1986"/>
      <c r="N5" s="1986"/>
      <c r="O5" s="1986"/>
      <c r="P5" s="1986"/>
      <c r="Q5" s="1986"/>
      <c r="R5" s="1986"/>
      <c r="S5" s="1986"/>
    </row>
    <row r="6" spans="1:28" ht="14.1" customHeight="1" x14ac:dyDescent="0.2">
      <c r="B6" s="104" t="s">
        <v>2085</v>
      </c>
      <c r="C6" s="26" t="s">
        <v>967</v>
      </c>
      <c r="D6" s="84"/>
      <c r="E6" s="84"/>
      <c r="I6" s="2040" t="s">
        <v>938</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695</v>
      </c>
      <c r="J9" s="2038"/>
      <c r="K9" s="2038"/>
      <c r="L9" s="2038"/>
      <c r="M9" s="2038"/>
      <c r="N9" s="2038"/>
      <c r="O9" s="2038"/>
      <c r="P9" s="2038"/>
      <c r="Q9" s="2038"/>
      <c r="R9" s="2038"/>
      <c r="S9" s="2039"/>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t="s">
        <v>2085</v>
      </c>
      <c r="P12" s="100" t="s">
        <v>211</v>
      </c>
      <c r="Q12" s="74"/>
      <c r="R12" s="30"/>
      <c r="S12" s="30"/>
      <c r="T12" s="85" t="s">
        <v>283</v>
      </c>
      <c r="U12" s="51"/>
      <c r="V12" s="51"/>
      <c r="W12" s="51"/>
      <c r="X12" s="51"/>
      <c r="Y12" s="45"/>
      <c r="Z12" s="45"/>
      <c r="AA12" s="46"/>
    </row>
    <row r="13" spans="1:28" ht="13.5" customHeight="1" x14ac:dyDescent="0.2">
      <c r="A13" s="2002">
        <v>33048205041</v>
      </c>
      <c r="B13" s="2003"/>
      <c r="C13" s="2003"/>
      <c r="D13" s="2003"/>
      <c r="E13" s="2003"/>
      <c r="F13" s="2003"/>
      <c r="G13" s="2003"/>
      <c r="H13" s="2004"/>
      <c r="I13" s="31"/>
      <c r="J13" s="30"/>
      <c r="K13" s="28"/>
      <c r="L13" s="30"/>
      <c r="M13" s="30"/>
      <c r="N13" s="30"/>
      <c r="O13" s="30"/>
      <c r="P13" s="30"/>
      <c r="Q13" s="30"/>
      <c r="R13" s="30"/>
      <c r="S13" s="30"/>
      <c r="T13" s="2007" t="s">
        <v>2077</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2086</v>
      </c>
      <c r="B15" s="2005"/>
      <c r="C15" s="2005"/>
      <c r="D15" s="2005"/>
      <c r="E15" s="2005"/>
      <c r="F15" s="2005"/>
      <c r="G15" s="2005"/>
      <c r="H15" s="2006"/>
      <c r="T15" s="1968" t="s">
        <v>2078</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2087</v>
      </c>
      <c r="B17" s="2030"/>
      <c r="C17" s="2030"/>
      <c r="D17" s="2030"/>
      <c r="E17" s="2030"/>
      <c r="F17" s="2030"/>
      <c r="G17" s="2030"/>
      <c r="H17" s="2031"/>
      <c r="T17" s="2017" t="s">
        <v>2079</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2088</v>
      </c>
      <c r="B19" s="2001"/>
      <c r="C19" s="2001"/>
      <c r="D19" s="2001"/>
      <c r="E19" s="2001"/>
      <c r="F19" s="2001"/>
      <c r="G19" s="2001"/>
      <c r="H19" s="1999"/>
      <c r="I19" s="30"/>
      <c r="J19" s="99"/>
      <c r="K19" s="40"/>
      <c r="L19" s="38"/>
      <c r="M19" s="112" t="s">
        <v>333</v>
      </c>
      <c r="P19" s="27"/>
      <c r="Q19" s="27"/>
      <c r="R19" s="27"/>
      <c r="S19" s="31"/>
      <c r="T19" s="2000" t="s">
        <v>2080</v>
      </c>
      <c r="U19" s="1998"/>
      <c r="V19" s="1998"/>
      <c r="W19" s="1999"/>
      <c r="X19" s="2015" t="s">
        <v>2081</v>
      </c>
      <c r="Y19" s="2016"/>
      <c r="Z19" s="2013">
        <v>61615</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2103</v>
      </c>
      <c r="B21" s="1998"/>
      <c r="C21" s="1998"/>
      <c r="D21" s="1998"/>
      <c r="E21" s="1998"/>
      <c r="F21" s="1998"/>
      <c r="G21" s="1998"/>
      <c r="H21" s="1999"/>
      <c r="I21" s="2023" t="s">
        <v>699</v>
      </c>
      <c r="J21" s="1986"/>
      <c r="K21" s="1986"/>
      <c r="L21" s="1986"/>
      <c r="M21" s="1986"/>
      <c r="N21" s="1986"/>
      <c r="O21" s="1986"/>
      <c r="P21" s="1986"/>
      <c r="Q21" s="1986"/>
      <c r="R21" s="1986"/>
      <c r="S21" s="1987"/>
      <c r="T21" s="1965" t="s">
        <v>2082</v>
      </c>
      <c r="U21" s="1966"/>
      <c r="V21" s="1966"/>
      <c r="W21" s="1966"/>
      <c r="X21" s="1979" t="s">
        <v>2094</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t="s">
        <v>2089</v>
      </c>
      <c r="B23" s="2021"/>
      <c r="C23" s="2021"/>
      <c r="D23" s="2021"/>
      <c r="E23" s="2021"/>
      <c r="F23" s="2021"/>
      <c r="G23" s="2021"/>
      <c r="H23" s="2022"/>
      <c r="T23" s="1960" t="s">
        <v>2084</v>
      </c>
      <c r="U23" s="1961"/>
      <c r="V23" s="1961"/>
      <c r="W23" s="1961"/>
      <c r="X23" s="1976">
        <v>43434</v>
      </c>
      <c r="Y23" s="1977"/>
      <c r="Z23" s="1977"/>
      <c r="AA23" s="1978"/>
    </row>
    <row r="24" spans="1:27" ht="14.1" customHeight="1" x14ac:dyDescent="0.2">
      <c r="A24" s="88" t="s">
        <v>698</v>
      </c>
      <c r="B24" s="49"/>
      <c r="C24" s="49"/>
      <c r="D24" s="49"/>
      <c r="E24" s="49"/>
      <c r="F24" s="49"/>
      <c r="G24" s="49"/>
      <c r="H24" s="61"/>
      <c r="J24" s="2062" t="str">
        <f>IF(B5="x",IF(AUDITCHECK!D29="AFR form Incomplete.","",IF(AUDITCHECK!D29="Deficit reduction plan is required.","School District must complete a deficit reduction plan in the 2018-2019 Budget",)),"")</f>
        <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1997">
        <v>61401</v>
      </c>
      <c r="B25" s="1998"/>
      <c r="C25" s="1998"/>
      <c r="D25" s="1998"/>
      <c r="E25" s="1998"/>
      <c r="F25" s="1998"/>
      <c r="G25" s="1998"/>
      <c r="H25" s="1999"/>
      <c r="I25" s="113"/>
      <c r="J25" s="2064"/>
      <c r="K25" s="2064"/>
      <c r="L25" s="2064"/>
      <c r="M25" s="2064"/>
      <c r="N25" s="2064"/>
      <c r="O25" s="2064"/>
      <c r="P25" s="2064"/>
      <c r="Q25" s="2064"/>
      <c r="R25" s="2064"/>
      <c r="S25" s="2065"/>
      <c r="T25" s="1957" t="s">
        <v>2083</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5"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2085</v>
      </c>
      <c r="M29" s="40" t="s">
        <v>101</v>
      </c>
      <c r="N29" s="32" t="s">
        <v>1604</v>
      </c>
      <c r="O29" s="32"/>
      <c r="P29" s="32"/>
      <c r="Q29" s="32"/>
      <c r="R29" s="32"/>
      <c r="S29" s="123"/>
      <c r="T29" s="6"/>
      <c r="U29" s="6"/>
      <c r="V29" s="6"/>
      <c r="W29" s="6"/>
      <c r="X29" s="6"/>
      <c r="Y29" s="6"/>
      <c r="Z29" s="6"/>
      <c r="AA29" s="132"/>
    </row>
    <row r="30" spans="1:27" ht="13.5" customHeight="1" x14ac:dyDescent="0.2">
      <c r="A30" s="153"/>
      <c r="B30" s="136" t="s">
        <v>2085</v>
      </c>
      <c r="C30" s="124" t="s">
        <v>1226</v>
      </c>
      <c r="D30" s="28"/>
      <c r="E30" s="28"/>
      <c r="F30" s="140"/>
      <c r="G30" s="114"/>
      <c r="H30" s="114"/>
      <c r="I30" s="54"/>
      <c r="J30" s="102"/>
      <c r="K30" s="28" t="s">
        <v>597</v>
      </c>
      <c r="L30" s="148" t="s">
        <v>2085</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2085</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2085</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t="s">
        <v>2090</v>
      </c>
      <c r="B38" s="2030"/>
      <c r="C38" s="2030"/>
      <c r="D38" s="2030"/>
      <c r="E38" s="2030"/>
      <c r="F38" s="1998"/>
      <c r="G38" s="1998"/>
      <c r="H38" s="1999"/>
      <c r="I38" s="2049"/>
      <c r="J38" s="1969"/>
      <c r="K38" s="1969"/>
      <c r="L38" s="1969"/>
      <c r="M38" s="1969"/>
      <c r="N38" s="1969"/>
      <c r="O38" s="1969"/>
      <c r="P38" s="1970"/>
      <c r="Q38" s="1970"/>
      <c r="R38" s="1970"/>
      <c r="S38" s="1971"/>
      <c r="T38" s="1968"/>
      <c r="U38" s="1969"/>
      <c r="V38" s="1969"/>
      <c r="W38" s="1969"/>
      <c r="X38" s="1970"/>
      <c r="Y38" s="1970"/>
      <c r="Z38" s="1970"/>
      <c r="AA38" s="1971"/>
    </row>
    <row r="39" spans="1:27" ht="12" customHeight="1" x14ac:dyDescent="0.2">
      <c r="A39" s="2053" t="s">
        <v>552</v>
      </c>
      <c r="B39" s="2054"/>
      <c r="C39" s="72"/>
      <c r="D39" s="69"/>
      <c r="E39" s="69"/>
      <c r="F39" s="79"/>
      <c r="G39" s="69"/>
      <c r="H39" s="56"/>
      <c r="I39" s="2053" t="s">
        <v>552</v>
      </c>
      <c r="J39" s="2054"/>
      <c r="K39" s="2054"/>
      <c r="L39" s="2054"/>
      <c r="M39" s="2054"/>
      <c r="N39" s="67"/>
      <c r="O39" s="72"/>
      <c r="P39" s="72"/>
      <c r="Q39" s="78"/>
      <c r="R39" s="72"/>
      <c r="S39" s="56"/>
      <c r="T39" s="72" t="s">
        <v>552</v>
      </c>
      <c r="U39" s="51"/>
      <c r="V39" s="72"/>
      <c r="W39" s="50"/>
      <c r="X39" s="78"/>
      <c r="Y39" s="45"/>
      <c r="Z39" s="45"/>
      <c r="AA39" s="46"/>
    </row>
    <row r="40" spans="1:27" ht="13.5" customHeight="1" x14ac:dyDescent="0.2">
      <c r="A40" s="2056" t="s">
        <v>2091</v>
      </c>
      <c r="B40" s="2057"/>
      <c r="C40" s="2058"/>
      <c r="D40" s="2058"/>
      <c r="E40" s="2058"/>
      <c r="F40" s="2059"/>
      <c r="G40" s="2059"/>
      <c r="H40" s="2060"/>
      <c r="I40" s="1972"/>
      <c r="J40" s="1974"/>
      <c r="K40" s="1974"/>
      <c r="L40" s="1974"/>
      <c r="M40" s="1974"/>
      <c r="N40" s="1974"/>
      <c r="O40" s="1974"/>
      <c r="P40" s="1974"/>
      <c r="Q40" s="1974"/>
      <c r="R40" s="1974"/>
      <c r="S40" s="1975"/>
      <c r="T40" s="1972"/>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6" t="s">
        <v>2092</v>
      </c>
      <c r="B42" s="2047"/>
      <c r="C42" s="2048"/>
      <c r="D42" s="2061" t="s">
        <v>2093</v>
      </c>
      <c r="E42" s="2047"/>
      <c r="F42" s="2047"/>
      <c r="G42" s="2047"/>
      <c r="H42" s="2048"/>
      <c r="I42" s="1967"/>
      <c r="J42" s="1963"/>
      <c r="K42" s="1963"/>
      <c r="L42" s="1963"/>
      <c r="M42" s="1963"/>
      <c r="N42" s="1963"/>
      <c r="O42" s="1964"/>
      <c r="P42" s="1962"/>
      <c r="Q42" s="1963"/>
      <c r="R42" s="1963"/>
      <c r="S42" s="1964"/>
      <c r="T42" s="1967"/>
      <c r="U42" s="1963"/>
      <c r="V42" s="1963"/>
      <c r="W42" s="1964"/>
      <c r="X42" s="1962"/>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3"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election activeCell="E84" sqref="E8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2095</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2096</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v>0</v>
      </c>
      <c r="F85" s="276">
        <v>0</v>
      </c>
      <c r="G85" s="276">
        <v>0</v>
      </c>
      <c r="H85" s="276">
        <v>0</v>
      </c>
      <c r="I85" s="276">
        <v>0</v>
      </c>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v>0</v>
      </c>
      <c r="F88" s="276">
        <v>0</v>
      </c>
      <c r="G88" s="276">
        <v>0</v>
      </c>
      <c r="H88" s="276">
        <v>0</v>
      </c>
      <c r="I88" s="276">
        <v>0</v>
      </c>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2077</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4">
        <f>ROUND(D10+F10+H10,5)</f>
        <v>0</v>
      </c>
      <c r="K10" s="222"/>
      <c r="L10" s="355"/>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575963</v>
      </c>
      <c r="E16" s="356"/>
      <c r="F16" s="1755">
        <f>SUM('Acct Summary 7-8'!C17,'Acct Summary 7-8'!D17,'Acct Summary 7-8'!F17)</f>
        <v>473987</v>
      </c>
      <c r="G16" s="356"/>
      <c r="H16" s="1755">
        <f>SUM(D16-F16)</f>
        <v>101976</v>
      </c>
      <c r="I16" s="222"/>
      <c r="J16" s="1755">
        <f>SUM('Acct Summary 7-8'!C81,'Acct Summary 7-8'!D81,'Acct Summary 7-8'!F81,'Acct Summary 7-8'!I81)</f>
        <v>244508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Galesburg Area Vocational Center</v>
      </c>
      <c r="E7" s="391"/>
      <c r="G7" s="252"/>
      <c r="H7" s="387"/>
      <c r="I7" s="387"/>
      <c r="J7" s="387"/>
      <c r="K7" s="387"/>
      <c r="L7" s="329"/>
      <c r="M7" s="329"/>
      <c r="N7" s="329"/>
      <c r="O7" s="329"/>
      <c r="P7" s="329"/>
    </row>
    <row r="8" spans="1:18" ht="12.75" x14ac:dyDescent="0.2">
      <c r="A8" s="329"/>
      <c r="B8" s="329"/>
      <c r="C8" s="389" t="s">
        <v>1187</v>
      </c>
      <c r="D8" s="392">
        <f>COVER!A13</f>
        <v>33048205041</v>
      </c>
      <c r="E8" s="393"/>
      <c r="G8" s="329"/>
      <c r="H8" s="329"/>
      <c r="I8" s="329"/>
      <c r="J8" s="329"/>
      <c r="K8" s="329"/>
      <c r="L8" s="329"/>
      <c r="M8" s="329"/>
      <c r="N8" s="329"/>
      <c r="O8" s="329"/>
      <c r="P8" s="329"/>
    </row>
    <row r="9" spans="1:18" ht="12.75" x14ac:dyDescent="0.2">
      <c r="A9" s="329"/>
      <c r="B9" s="329"/>
      <c r="C9" s="389" t="s">
        <v>737</v>
      </c>
      <c r="D9" s="394" t="str">
        <f>COVER!A15</f>
        <v>Knox and Warren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244508</v>
      </c>
      <c r="I12" s="404"/>
      <c r="J12" s="404"/>
      <c r="K12" s="405">
        <f>TRUNC((H12/H13*100000),5)/100000</f>
        <v>0.42452032500000003</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575963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473987</v>
      </c>
      <c r="I17" s="404"/>
      <c r="J17" s="416"/>
      <c r="K17" s="405">
        <f>TRUNC((H17/H18*100000),5)/100000</f>
        <v>0.82294696010000001</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575963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213451</v>
      </c>
      <c r="I24" s="422"/>
      <c r="J24" s="422"/>
      <c r="K24" s="423">
        <f>TRUNC(((H24/H25*100000)/100000),2)</f>
        <v>162.11000000000001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1316.6305600000001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Normal="100" workbookViewId="0">
      <pane ySplit="2" topLeftCell="A3" activePane="bottomLeft" state="frozen"/>
      <selection activeCell="A47" sqref="A47"/>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81"/>
      <c r="D3" s="1582"/>
      <c r="E3" s="1582"/>
      <c r="F3" s="1582"/>
      <c r="G3" s="1582"/>
      <c r="H3" s="1582"/>
      <c r="I3" s="1582"/>
      <c r="J3" s="1582"/>
      <c r="K3" s="1582"/>
      <c r="L3" s="1582"/>
      <c r="M3" s="1583"/>
      <c r="N3" s="1584"/>
    </row>
    <row r="4" spans="1:14" ht="13.5" customHeight="1" x14ac:dyDescent="0.2">
      <c r="A4" s="463" t="s">
        <v>1750</v>
      </c>
      <c r="B4" s="464"/>
      <c r="C4" s="465">
        <v>213451</v>
      </c>
      <c r="D4" s="466"/>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v>58606</v>
      </c>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272057</v>
      </c>
      <c r="D13" s="1759">
        <f t="shared" ref="D13:L13" si="0">SUM(D4:D12)</f>
        <v>0</v>
      </c>
      <c r="E13" s="1759">
        <f t="shared" si="0"/>
        <v>0</v>
      </c>
      <c r="F13" s="1759">
        <f t="shared" si="0"/>
        <v>0</v>
      </c>
      <c r="G13" s="1759">
        <f t="shared" si="0"/>
        <v>0</v>
      </c>
      <c r="H13" s="1759">
        <f t="shared" si="0"/>
        <v>0</v>
      </c>
      <c r="I13" s="1759">
        <f t="shared" si="0"/>
        <v>0</v>
      </c>
      <c r="J13" s="1759">
        <f t="shared" si="0"/>
        <v>0</v>
      </c>
      <c r="K13" s="1759">
        <f t="shared" si="0"/>
        <v>0</v>
      </c>
      <c r="L13" s="1759">
        <f t="shared" si="0"/>
        <v>0</v>
      </c>
      <c r="M13" s="468"/>
      <c r="N13" s="469"/>
    </row>
    <row r="14" spans="1:14" ht="18" customHeight="1" thickTop="1" x14ac:dyDescent="0.2">
      <c r="A14" s="2126" t="s">
        <v>149</v>
      </c>
      <c r="B14" s="2127"/>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75658</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8" t="s">
        <v>664</v>
      </c>
      <c r="B23" s="1763"/>
      <c r="C23" s="468"/>
      <c r="D23" s="468"/>
      <c r="E23" s="468"/>
      <c r="F23" s="468"/>
      <c r="G23" s="468"/>
      <c r="H23" s="468"/>
      <c r="I23" s="468"/>
      <c r="J23" s="468"/>
      <c r="K23" s="468"/>
      <c r="L23" s="468"/>
      <c r="M23" s="1710">
        <f>SUM(M15:M22)</f>
        <v>75658</v>
      </c>
      <c r="N23" s="1710">
        <f>SUM(N21:N22)</f>
        <v>0</v>
      </c>
    </row>
    <row r="24" spans="1:14" ht="18" customHeight="1" thickTop="1" x14ac:dyDescent="0.2">
      <c r="A24" s="2128" t="s">
        <v>619</v>
      </c>
      <c r="B24" s="2129"/>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v>27549</v>
      </c>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60" t="s">
        <v>675</v>
      </c>
      <c r="B34" s="1761"/>
      <c r="C34" s="1762">
        <f>SUM(C25:C33)</f>
        <v>27549</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0</v>
      </c>
      <c r="M34" s="468"/>
      <c r="N34" s="480"/>
    </row>
    <row r="35" spans="1:14" ht="18" customHeight="1" thickTop="1" x14ac:dyDescent="0.2">
      <c r="A35" s="2130" t="s">
        <v>550</v>
      </c>
      <c r="B35" s="2131"/>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8" t="s">
        <v>674</v>
      </c>
      <c r="B37" s="1763"/>
      <c r="C37" s="477"/>
      <c r="D37" s="477"/>
      <c r="E37" s="477"/>
      <c r="F37" s="477"/>
      <c r="G37" s="477"/>
      <c r="H37" s="477"/>
      <c r="I37" s="477"/>
      <c r="J37" s="477"/>
      <c r="K37" s="477"/>
      <c r="L37" s="480"/>
      <c r="M37" s="468"/>
      <c r="N37" s="1710">
        <f>SUM(N36:N36)</f>
        <v>0</v>
      </c>
    </row>
    <row r="38" spans="1:14" s="329" customFormat="1" ht="13.5" customHeight="1" thickTop="1" x14ac:dyDescent="0.2">
      <c r="A38" s="496" t="s">
        <v>440</v>
      </c>
      <c r="B38" s="483">
        <v>714</v>
      </c>
      <c r="C38" s="466">
        <v>0</v>
      </c>
      <c r="D38" s="466">
        <v>0</v>
      </c>
      <c r="E38" s="466">
        <v>0</v>
      </c>
      <c r="F38" s="466">
        <v>0</v>
      </c>
      <c r="G38" s="466">
        <v>0</v>
      </c>
      <c r="H38" s="466">
        <v>0</v>
      </c>
      <c r="I38" s="466">
        <v>0</v>
      </c>
      <c r="J38" s="466">
        <v>0</v>
      </c>
      <c r="K38" s="466">
        <v>0</v>
      </c>
      <c r="L38" s="466">
        <v>0</v>
      </c>
      <c r="M38" s="497"/>
      <c r="N38" s="497"/>
    </row>
    <row r="39" spans="1:14" s="329" customFormat="1" ht="13.5" customHeight="1" x14ac:dyDescent="0.2">
      <c r="A39" s="496" t="s">
        <v>360</v>
      </c>
      <c r="B39" s="483">
        <v>730</v>
      </c>
      <c r="C39" s="466">
        <v>244508</v>
      </c>
      <c r="D39" s="466">
        <f>'Acct Summary 7-8'!D81-D38</f>
        <v>0</v>
      </c>
      <c r="E39" s="466">
        <f>'Acct Summary 7-8'!E81-E38</f>
        <v>0</v>
      </c>
      <c r="F39" s="466">
        <f>'Acct Summary 7-8'!F81-F38</f>
        <v>0</v>
      </c>
      <c r="G39" s="466">
        <f>'Acct Summary 7-8'!G81-G38</f>
        <v>0</v>
      </c>
      <c r="H39" s="466">
        <f>'Acct Summary 7-8'!H81-H38</f>
        <v>0</v>
      </c>
      <c r="I39" s="466">
        <f>'Acct Summary 7-8'!I81-I38</f>
        <v>0</v>
      </c>
      <c r="J39" s="466">
        <f>'Acct Summary 7-8'!J81-J38</f>
        <v>0</v>
      </c>
      <c r="K39" s="466">
        <f>'Acct Summary 7-8'!K81-K38</f>
        <v>0</v>
      </c>
      <c r="L39" s="466">
        <f>'Acct Summary 7-8'!L81-L38</f>
        <v>0</v>
      </c>
      <c r="M39" s="497"/>
      <c r="N39" s="497"/>
    </row>
    <row r="40" spans="1:14" s="329" customFormat="1" ht="13.5" customHeight="1" x14ac:dyDescent="0.2">
      <c r="A40" s="498" t="s">
        <v>150</v>
      </c>
      <c r="B40" s="499"/>
      <c r="C40" s="500"/>
      <c r="D40" s="500"/>
      <c r="E40" s="500"/>
      <c r="F40" s="500"/>
      <c r="G40" s="500"/>
      <c r="H40" s="500"/>
      <c r="I40" s="500"/>
      <c r="J40" s="500"/>
      <c r="K40" s="500"/>
      <c r="L40" s="500"/>
      <c r="M40" s="467">
        <f>M23</f>
        <v>75658</v>
      </c>
      <c r="N40" s="497"/>
    </row>
    <row r="41" spans="1:14" ht="13.5" customHeight="1" thickBot="1" x14ac:dyDescent="0.25">
      <c r="A41" s="1758" t="s">
        <v>676</v>
      </c>
      <c r="B41" s="1728"/>
      <c r="C41" s="1710">
        <f>(SUM(C34,C37,C38,C39))</f>
        <v>272057</v>
      </c>
      <c r="D41" s="1710">
        <f t="shared" ref="D41:L41" si="2">SUM(D34,D37,D38:D39)</f>
        <v>0</v>
      </c>
      <c r="E41" s="1710">
        <f t="shared" si="2"/>
        <v>0</v>
      </c>
      <c r="F41" s="1710">
        <f t="shared" si="2"/>
        <v>0</v>
      </c>
      <c r="G41" s="1710">
        <f t="shared" si="2"/>
        <v>0</v>
      </c>
      <c r="H41" s="1710">
        <f t="shared" si="2"/>
        <v>0</v>
      </c>
      <c r="I41" s="1710">
        <f t="shared" si="2"/>
        <v>0</v>
      </c>
      <c r="J41" s="1710">
        <f t="shared" si="2"/>
        <v>0</v>
      </c>
      <c r="K41" s="1710">
        <f t="shared" si="2"/>
        <v>0</v>
      </c>
      <c r="L41" s="1710">
        <f t="shared" si="2"/>
        <v>0</v>
      </c>
      <c r="M41" s="1710">
        <f>SUM(M40)</f>
        <v>75658</v>
      </c>
      <c r="N41" s="1710">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notes are an intergral part of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B1" colorId="8" zoomScale="110" zoomScaleNormal="110" zoomScaleSheetLayoutView="100" workbookViewId="0">
      <pane ySplit="2" topLeftCell="A72"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5"/>
      <c r="D3" s="1596"/>
      <c r="E3" s="1596"/>
      <c r="F3" s="1596"/>
      <c r="G3" s="1596"/>
      <c r="H3" s="1596"/>
      <c r="I3" s="1596"/>
      <c r="J3" s="1596"/>
      <c r="K3" s="1597"/>
      <c r="L3" s="506"/>
    </row>
    <row r="4" spans="1:13" ht="15.75" customHeight="1" x14ac:dyDescent="0.2">
      <c r="A4" s="1954" t="s">
        <v>1579</v>
      </c>
      <c r="B4" s="1955">
        <v>1000</v>
      </c>
      <c r="C4" s="1764">
        <f>'Revenues 9-14'!C109</f>
        <v>373532</v>
      </c>
      <c r="D4" s="1764">
        <f>'Revenues 9-14'!D109</f>
        <v>0</v>
      </c>
      <c r="E4" s="1764">
        <f>'Revenues 9-14'!E109</f>
        <v>0</v>
      </c>
      <c r="F4" s="1764">
        <f>'Revenues 9-14'!F109</f>
        <v>0</v>
      </c>
      <c r="G4" s="1764">
        <f>'Revenues 9-14'!G109</f>
        <v>0</v>
      </c>
      <c r="H4" s="1764">
        <f>'Revenues 9-14'!H109</f>
        <v>0</v>
      </c>
      <c r="I4" s="1764">
        <f>'Revenues 9-14'!I109</f>
        <v>0</v>
      </c>
      <c r="J4" s="1764">
        <f>'Revenues 9-14'!J109</f>
        <v>0</v>
      </c>
      <c r="K4" s="1764">
        <f>'Revenues 9-14'!K109</f>
        <v>0</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142325</v>
      </c>
      <c r="D6" s="1765">
        <f>'Revenues 9-14'!D173</f>
        <v>0</v>
      </c>
      <c r="E6" s="1765">
        <f>'Revenues 9-14'!E173</f>
        <v>0</v>
      </c>
      <c r="F6" s="1765">
        <f>'Revenues 9-14'!F173</f>
        <v>0</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60106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575963</v>
      </c>
      <c r="D8" s="1710">
        <f t="shared" ref="D8:K8" si="0">SUM(D4:D7)</f>
        <v>0</v>
      </c>
      <c r="E8" s="1710">
        <f t="shared" si="0"/>
        <v>0</v>
      </c>
      <c r="F8" s="1710">
        <f t="shared" si="0"/>
        <v>0</v>
      </c>
      <c r="G8" s="1710">
        <f t="shared" si="0"/>
        <v>0</v>
      </c>
      <c r="H8" s="1710">
        <f t="shared" si="0"/>
        <v>0</v>
      </c>
      <c r="I8" s="1710">
        <f t="shared" si="0"/>
        <v>0</v>
      </c>
      <c r="J8" s="1710">
        <f t="shared" si="0"/>
        <v>0</v>
      </c>
      <c r="K8" s="1710">
        <f t="shared" si="0"/>
        <v>0</v>
      </c>
      <c r="L8" s="347"/>
    </row>
    <row r="9" spans="1:13" ht="15.75" thickTop="1" x14ac:dyDescent="0.2">
      <c r="A9" s="514" t="s">
        <v>1752</v>
      </c>
      <c r="B9" s="515">
        <v>3998</v>
      </c>
      <c r="C9" s="481">
        <v>0</v>
      </c>
      <c r="D9" s="516"/>
      <c r="E9" s="481"/>
      <c r="F9" s="481"/>
      <c r="G9" s="517"/>
      <c r="H9" s="481"/>
      <c r="I9" s="509" t="s">
        <v>1231</v>
      </c>
      <c r="J9" s="478"/>
      <c r="K9" s="481"/>
      <c r="L9" s="347"/>
    </row>
    <row r="10" spans="1:13" s="519" customFormat="1" ht="13.5" thickBot="1" x14ac:dyDescent="0.25">
      <c r="A10" s="1758" t="s">
        <v>1235</v>
      </c>
      <c r="B10" s="1731"/>
      <c r="C10" s="1710">
        <f>SUM(C8:C9)</f>
        <v>575963</v>
      </c>
      <c r="D10" s="1710">
        <f t="shared" ref="D10:K10" si="1">SUM(D8:D9)</f>
        <v>0</v>
      </c>
      <c r="E10" s="1710">
        <f t="shared" si="1"/>
        <v>0</v>
      </c>
      <c r="F10" s="1710">
        <f t="shared" si="1"/>
        <v>0</v>
      </c>
      <c r="G10" s="1710">
        <f t="shared" si="1"/>
        <v>0</v>
      </c>
      <c r="H10" s="1710">
        <f t="shared" si="1"/>
        <v>0</v>
      </c>
      <c r="I10" s="1710">
        <f t="shared" si="1"/>
        <v>0</v>
      </c>
      <c r="J10" s="1710">
        <f t="shared" si="1"/>
        <v>0</v>
      </c>
      <c r="K10" s="1710">
        <f t="shared" si="1"/>
        <v>0</v>
      </c>
      <c r="L10" s="518"/>
    </row>
    <row r="11" spans="1:13" s="519" customFormat="1" ht="16.7" customHeight="1" thickTop="1" x14ac:dyDescent="0.2">
      <c r="A11" s="2126" t="s">
        <v>1238</v>
      </c>
      <c r="B11" s="2127"/>
      <c r="C11" s="1592"/>
      <c r="D11" s="1593"/>
      <c r="E11" s="1593"/>
      <c r="F11" s="1593"/>
      <c r="G11" s="1593"/>
      <c r="H11" s="1593"/>
      <c r="I11" s="1593"/>
      <c r="J11" s="1593"/>
      <c r="K11" s="1594"/>
      <c r="L11" s="518"/>
    </row>
    <row r="12" spans="1:13" ht="15.75" customHeight="1" x14ac:dyDescent="0.2">
      <c r="A12" s="1598" t="s">
        <v>476</v>
      </c>
      <c r="B12" s="1600">
        <v>1000</v>
      </c>
      <c r="C12" s="1764">
        <f>'Expenditures 15-22'!K33</f>
        <v>361354</v>
      </c>
      <c r="D12" s="520" t="s">
        <v>1231</v>
      </c>
      <c r="E12" s="468" t="s">
        <v>1231</v>
      </c>
      <c r="F12" s="468" t="s">
        <v>1231</v>
      </c>
      <c r="G12" s="1764">
        <f>'Expenditures 15-22'!K229</f>
        <v>0</v>
      </c>
      <c r="H12" s="521"/>
      <c r="I12" s="468" t="s">
        <v>1231</v>
      </c>
      <c r="J12" s="468" t="s">
        <v>1231</v>
      </c>
      <c r="K12" s="521" t="s">
        <v>1231</v>
      </c>
      <c r="L12" s="347"/>
    </row>
    <row r="13" spans="1:13" ht="15.75" customHeight="1" x14ac:dyDescent="0.2">
      <c r="A13" s="1598" t="s">
        <v>477</v>
      </c>
      <c r="B13" s="1600">
        <v>2000</v>
      </c>
      <c r="C13" s="1765">
        <f>'Expenditures 15-22'!K74</f>
        <v>88177</v>
      </c>
      <c r="D13" s="1765">
        <f>'Expenditures 15-22'!K129</f>
        <v>0</v>
      </c>
      <c r="E13" s="469" t="s">
        <v>1231</v>
      </c>
      <c r="F13" s="1765">
        <f>'Expenditures 15-22'!K184</f>
        <v>0</v>
      </c>
      <c r="G13" s="1765">
        <f>'Expenditures 15-22'!K279</f>
        <v>0</v>
      </c>
      <c r="H13" s="1765">
        <f>'Expenditures 15-22'!K303</f>
        <v>0</v>
      </c>
      <c r="I13" s="468" t="s">
        <v>1231</v>
      </c>
      <c r="J13" s="1765">
        <f>'Expenditures 15-22'!K330</f>
        <v>0</v>
      </c>
      <c r="K13" s="1769">
        <f>'Expenditures 15-22'!K352</f>
        <v>0</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24456</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0</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473987</v>
      </c>
      <c r="D17" s="1710">
        <f t="shared" si="2"/>
        <v>0</v>
      </c>
      <c r="E17" s="1710">
        <f t="shared" si="2"/>
        <v>0</v>
      </c>
      <c r="F17" s="1710">
        <f t="shared" si="2"/>
        <v>0</v>
      </c>
      <c r="G17" s="1710">
        <f t="shared" si="2"/>
        <v>0</v>
      </c>
      <c r="H17" s="1710">
        <f t="shared" si="2"/>
        <v>0</v>
      </c>
      <c r="I17" s="468"/>
      <c r="J17" s="1710">
        <f>SUM(J12:J16)</f>
        <v>0</v>
      </c>
      <c r="K17" s="1710">
        <f>SUM(K12:K16)</f>
        <v>0</v>
      </c>
      <c r="L17" s="347"/>
    </row>
    <row r="18" spans="1:12" ht="15" customHeight="1" thickTop="1" x14ac:dyDescent="0.2">
      <c r="A18" s="1766" t="s">
        <v>1753</v>
      </c>
      <c r="B18" s="1767">
        <v>4180</v>
      </c>
      <c r="C18" s="1764">
        <f t="shared" ref="C18:H18" si="3">C9</f>
        <v>0</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473987</v>
      </c>
      <c r="D19" s="1710">
        <f t="shared" si="4"/>
        <v>0</v>
      </c>
      <c r="E19" s="1710">
        <f t="shared" si="4"/>
        <v>0</v>
      </c>
      <c r="F19" s="1710">
        <f t="shared" si="4"/>
        <v>0</v>
      </c>
      <c r="G19" s="1710">
        <f t="shared" si="4"/>
        <v>0</v>
      </c>
      <c r="H19" s="1710">
        <f t="shared" si="4"/>
        <v>0</v>
      </c>
      <c r="I19" s="468"/>
      <c r="J19" s="1710">
        <f>SUM(J17:J18)</f>
        <v>0</v>
      </c>
      <c r="K19" s="1710">
        <f>SUM(K17:K18)</f>
        <v>0</v>
      </c>
      <c r="L19" s="347"/>
    </row>
    <row r="20" spans="1:12" ht="16.5" thickTop="1" thickBot="1" x14ac:dyDescent="0.25">
      <c r="A20" s="2142" t="s">
        <v>1754</v>
      </c>
      <c r="B20" s="2143"/>
      <c r="C20" s="1768">
        <f>C8-C17</f>
        <v>101976</v>
      </c>
      <c r="D20" s="1768">
        <f t="shared" ref="D20:K20" si="5">D8-D17</f>
        <v>0</v>
      </c>
      <c r="E20" s="1768">
        <f t="shared" si="5"/>
        <v>0</v>
      </c>
      <c r="F20" s="1768">
        <f t="shared" si="5"/>
        <v>0</v>
      </c>
      <c r="G20" s="1768">
        <f t="shared" si="5"/>
        <v>0</v>
      </c>
      <c r="H20" s="1768">
        <f t="shared" si="5"/>
        <v>0</v>
      </c>
      <c r="I20" s="1768">
        <f t="shared" si="5"/>
        <v>0</v>
      </c>
      <c r="J20" s="1768">
        <f t="shared" si="5"/>
        <v>0</v>
      </c>
      <c r="K20" s="1768">
        <f t="shared" si="5"/>
        <v>0</v>
      </c>
      <c r="L20" s="347"/>
    </row>
    <row r="21" spans="1:12" ht="16.7" customHeight="1" thickTop="1" x14ac:dyDescent="0.2">
      <c r="A21" s="2154" t="s">
        <v>616</v>
      </c>
      <c r="B21" s="2155"/>
      <c r="C21" s="1592"/>
      <c r="D21" s="1593"/>
      <c r="E21" s="1593"/>
      <c r="F21" s="1593"/>
      <c r="G21" s="1593"/>
      <c r="H21" s="1593"/>
      <c r="I21" s="1593"/>
      <c r="J21" s="1593"/>
      <c r="K21" s="1594"/>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6" t="s">
        <v>392</v>
      </c>
      <c r="B44" s="2157"/>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2" t="s">
        <v>460</v>
      </c>
      <c r="B76" s="2133"/>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34" t="s">
        <v>1239</v>
      </c>
      <c r="B77" s="2135"/>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38" t="s">
        <v>618</v>
      </c>
      <c r="B78" s="2139"/>
      <c r="C78" s="1724">
        <f t="shared" ref="C78:K78" si="9">C20+C77</f>
        <v>101976</v>
      </c>
      <c r="D78" s="1724">
        <f t="shared" si="9"/>
        <v>0</v>
      </c>
      <c r="E78" s="1724">
        <f t="shared" si="9"/>
        <v>0</v>
      </c>
      <c r="F78" s="1724">
        <f t="shared" si="9"/>
        <v>0</v>
      </c>
      <c r="G78" s="1724">
        <f t="shared" si="9"/>
        <v>0</v>
      </c>
      <c r="H78" s="1724">
        <f t="shared" si="9"/>
        <v>0</v>
      </c>
      <c r="I78" s="1724">
        <f t="shared" si="9"/>
        <v>0</v>
      </c>
      <c r="J78" s="1724">
        <f t="shared" si="9"/>
        <v>0</v>
      </c>
      <c r="K78" s="1724">
        <f t="shared" si="9"/>
        <v>0</v>
      </c>
      <c r="L78" s="533"/>
    </row>
    <row r="79" spans="1:12" ht="13.5" thickTop="1" x14ac:dyDescent="0.2">
      <c r="A79" s="1516" t="s">
        <v>2073</v>
      </c>
      <c r="B79" s="534"/>
      <c r="C79" s="478">
        <v>142532</v>
      </c>
      <c r="D79" s="535"/>
      <c r="E79" s="535"/>
      <c r="F79" s="535"/>
      <c r="G79" s="535"/>
      <c r="H79" s="535"/>
      <c r="I79" s="535"/>
      <c r="J79" s="535"/>
      <c r="K79" s="535"/>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2074</v>
      </c>
      <c r="B81" s="2137"/>
      <c r="C81" s="1710">
        <f>(SUM(C78:C80))</f>
        <v>244508</v>
      </c>
      <c r="D81" s="1710">
        <f>SUM(D78:D80)</f>
        <v>0</v>
      </c>
      <c r="E81" s="1710">
        <f t="shared" ref="E81:K81" si="10">SUM(E78:E80)</f>
        <v>0</v>
      </c>
      <c r="F81" s="1710">
        <f t="shared" si="10"/>
        <v>0</v>
      </c>
      <c r="G81" s="1710">
        <f t="shared" si="10"/>
        <v>0</v>
      </c>
      <c r="H81" s="1710">
        <f t="shared" si="10"/>
        <v>0</v>
      </c>
      <c r="I81" s="1710">
        <f t="shared" si="10"/>
        <v>0</v>
      </c>
      <c r="J81" s="1710">
        <f t="shared" si="10"/>
        <v>0</v>
      </c>
      <c r="K81" s="1710">
        <f t="shared" si="10"/>
        <v>0</v>
      </c>
      <c r="L81" s="347"/>
    </row>
    <row r="82" spans="1:12" ht="0.75" customHeight="1" thickTop="1" thickBot="1" x14ac:dyDescent="0.25">
      <c r="A82" s="536" t="s">
        <v>361</v>
      </c>
      <c r="B82" s="537"/>
      <c r="C82" s="538">
        <f>(C81-C79)</f>
        <v>101976</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0.41706610826639617</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notes are an intergral part of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198" activePane="bottomLeft" state="frozen"/>
      <selection activeCell="A47" sqref="A47"/>
      <selection pane="bottomLeft" activeCell="C227" sqref="C227"/>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0</v>
      </c>
      <c r="D12" s="1729">
        <f t="shared" si="0"/>
        <v>0</v>
      </c>
      <c r="E12" s="1729">
        <f t="shared" si="0"/>
        <v>0</v>
      </c>
      <c r="F12" s="1729">
        <f t="shared" si="0"/>
        <v>0</v>
      </c>
      <c r="G12" s="1729">
        <f t="shared" si="0"/>
        <v>0</v>
      </c>
      <c r="H12" s="1729">
        <f t="shared" si="0"/>
        <v>0</v>
      </c>
      <c r="I12" s="1729">
        <f t="shared" si="0"/>
        <v>0</v>
      </c>
      <c r="J12" s="1729">
        <f t="shared" si="0"/>
        <v>0</v>
      </c>
      <c r="K12" s="1710">
        <f t="shared" si="0"/>
        <v>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0</v>
      </c>
      <c r="D18" s="1732">
        <f t="shared" ref="D18:K18" si="1">SUM(D14:D17)</f>
        <v>0</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v>360231</v>
      </c>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360231</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2257</v>
      </c>
      <c r="D65" s="466"/>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2257</v>
      </c>
      <c r="D67" s="1710">
        <f t="shared" ref="D67:K67" si="2">SUM(D65:D66)</f>
        <v>0</v>
      </c>
      <c r="E67" s="1710">
        <f t="shared" si="2"/>
        <v>0</v>
      </c>
      <c r="F67" s="1710">
        <f t="shared" si="2"/>
        <v>0</v>
      </c>
      <c r="G67" s="1710">
        <f t="shared" si="2"/>
        <v>0</v>
      </c>
      <c r="H67" s="1710">
        <f t="shared" si="2"/>
        <v>0</v>
      </c>
      <c r="I67" s="1710">
        <f t="shared" si="2"/>
        <v>0</v>
      </c>
      <c r="J67" s="1710">
        <f t="shared" si="2"/>
        <v>0</v>
      </c>
      <c r="K67" s="1710">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0</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v>11044</v>
      </c>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c r="D107" s="466"/>
      <c r="E107" s="466"/>
      <c r="F107" s="466"/>
      <c r="G107" s="466"/>
      <c r="H107" s="466"/>
      <c r="I107" s="466"/>
      <c r="J107" s="467"/>
      <c r="K107" s="466"/>
    </row>
    <row r="108" spans="1:12" ht="12.75" customHeight="1" thickBot="1" x14ac:dyDescent="0.25">
      <c r="A108" s="1730" t="s">
        <v>508</v>
      </c>
      <c r="B108" s="1734"/>
      <c r="C108" s="1729">
        <f>SUM(C95:C107)</f>
        <v>11044</v>
      </c>
      <c r="D108" s="1729">
        <f t="shared" ref="D108:K108" si="3">SUM(D95:D107)</f>
        <v>0</v>
      </c>
      <c r="E108" s="1729">
        <f t="shared" si="3"/>
        <v>0</v>
      </c>
      <c r="F108" s="1729">
        <f t="shared" si="3"/>
        <v>0</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373532</v>
      </c>
      <c r="D109" s="1737">
        <f t="shared" si="4"/>
        <v>0</v>
      </c>
      <c r="E109" s="1737">
        <f t="shared" si="4"/>
        <v>0</v>
      </c>
      <c r="F109" s="1737">
        <f t="shared" si="4"/>
        <v>0</v>
      </c>
      <c r="G109" s="1737">
        <f t="shared" si="4"/>
        <v>0</v>
      </c>
      <c r="H109" s="1737">
        <f t="shared" si="4"/>
        <v>0</v>
      </c>
      <c r="I109" s="1737">
        <f t="shared" si="4"/>
        <v>0</v>
      </c>
      <c r="J109" s="1737">
        <f t="shared" si="4"/>
        <v>0</v>
      </c>
      <c r="K109" s="1724">
        <f t="shared" si="4"/>
        <v>0</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0</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142325</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142325</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0</v>
      </c>
      <c r="D144" s="468"/>
      <c r="E144" s="509"/>
      <c r="F144" s="468"/>
      <c r="G144" s="1743">
        <f>SUM(G142:G143)</f>
        <v>0</v>
      </c>
      <c r="H144" s="468"/>
      <c r="I144" s="468"/>
      <c r="J144" s="468"/>
      <c r="K144" s="468"/>
    </row>
    <row r="145" spans="1:11" s="202" customFormat="1" ht="12.75" customHeight="1" thickTop="1" x14ac:dyDescent="0.2">
      <c r="A145" s="1520" t="s">
        <v>1116</v>
      </c>
      <c r="B145" s="568">
        <v>3360</v>
      </c>
      <c r="C145" s="569"/>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0</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0" t="s">
        <v>418</v>
      </c>
      <c r="B172" s="2161"/>
      <c r="C172" s="1744">
        <f t="shared" ref="C172:K172" si="6">SUM(C131,C140,C144,C145:C149,C154,C155:C170,C171)</f>
        <v>142325</v>
      </c>
      <c r="D172" s="1744">
        <f t="shared" si="6"/>
        <v>0</v>
      </c>
      <c r="E172" s="1744">
        <f t="shared" si="6"/>
        <v>0</v>
      </c>
      <c r="F172" s="1744">
        <f t="shared" si="6"/>
        <v>0</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142325</v>
      </c>
      <c r="D173" s="1737">
        <f>SUM(D121,D172)</f>
        <v>0</v>
      </c>
      <c r="E173" s="1737">
        <f>SUM(E121,E172)</f>
        <v>0</v>
      </c>
      <c r="F173" s="1737">
        <f t="shared" ref="F173:K173" si="7">SUM(F121,F172)</f>
        <v>0</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6" t="s">
        <v>1764</v>
      </c>
      <c r="B178" s="2167"/>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8" t="s">
        <v>818</v>
      </c>
      <c r="B184" s="2169"/>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4" t="s">
        <v>1906</v>
      </c>
      <c r="B185" s="2165"/>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0</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v>60106</v>
      </c>
      <c r="D227" s="466"/>
      <c r="E227" s="468"/>
      <c r="F227" s="468"/>
      <c r="G227" s="466"/>
      <c r="H227" s="468"/>
      <c r="I227" s="468"/>
      <c r="J227" s="468"/>
      <c r="K227" s="468"/>
    </row>
    <row r="228" spans="1:11" ht="12.75" customHeight="1" thickBot="1" x14ac:dyDescent="0.25">
      <c r="A228" s="1745" t="s">
        <v>1145</v>
      </c>
      <c r="B228" s="1746"/>
      <c r="C228" s="1729">
        <f>SUM(C226:C227)</f>
        <v>60106</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60106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60106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575963</v>
      </c>
      <c r="D275" s="1737">
        <f t="shared" si="12"/>
        <v>0</v>
      </c>
      <c r="E275" s="1737">
        <f t="shared" si="12"/>
        <v>0</v>
      </c>
      <c r="F275" s="1737">
        <f t="shared" si="12"/>
        <v>0</v>
      </c>
      <c r="G275" s="1737">
        <f t="shared" si="12"/>
        <v>0</v>
      </c>
      <c r="H275" s="1737">
        <f t="shared" si="12"/>
        <v>0</v>
      </c>
      <c r="I275" s="1737">
        <f t="shared" si="12"/>
        <v>0</v>
      </c>
      <c r="J275" s="1737">
        <f t="shared" si="12"/>
        <v>0</v>
      </c>
      <c r="K275" s="172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notes are an intergral part of the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99" activePane="bottomLeft" state="frozen"/>
      <selection activeCell="A47" sqref="A47"/>
      <selection pane="bottomLeft" activeCell="G13" sqref="G13:I1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c r="D5" s="466"/>
      <c r="E5" s="466"/>
      <c r="F5" s="466"/>
      <c r="G5" s="466"/>
      <c r="H5" s="466"/>
      <c r="I5" s="467"/>
      <c r="J5" s="467"/>
      <c r="K5" s="1693">
        <f>SUM(C5:J5)</f>
        <v>0</v>
      </c>
      <c r="L5" s="466"/>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c r="D8" s="466"/>
      <c r="E8" s="466"/>
      <c r="F8" s="466"/>
      <c r="G8" s="466"/>
      <c r="H8" s="466"/>
      <c r="I8" s="467"/>
      <c r="J8" s="467"/>
      <c r="K8" s="1693">
        <f t="shared" si="0"/>
        <v>0</v>
      </c>
      <c r="L8" s="466"/>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230272</v>
      </c>
      <c r="D13" s="466">
        <v>22630</v>
      </c>
      <c r="E13" s="466">
        <v>4768</v>
      </c>
      <c r="F13" s="466">
        <v>64335</v>
      </c>
      <c r="G13" s="466">
        <v>32400</v>
      </c>
      <c r="H13" s="466"/>
      <c r="I13" s="467">
        <v>6949</v>
      </c>
      <c r="J13" s="467"/>
      <c r="K13" s="1693">
        <f t="shared" si="0"/>
        <v>361354</v>
      </c>
      <c r="L13" s="466">
        <v>403449</v>
      </c>
    </row>
    <row r="14" spans="1:14" x14ac:dyDescent="0.2">
      <c r="A14" s="1526" t="s">
        <v>1020</v>
      </c>
      <c r="B14" s="615">
        <v>1500</v>
      </c>
      <c r="C14" s="466"/>
      <c r="D14" s="466"/>
      <c r="E14" s="466"/>
      <c r="F14" s="466"/>
      <c r="G14" s="466"/>
      <c r="H14" s="466"/>
      <c r="I14" s="467"/>
      <c r="J14" s="467"/>
      <c r="K14" s="1693">
        <f t="shared" si="0"/>
        <v>0</v>
      </c>
      <c r="L14" s="466"/>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230272</v>
      </c>
      <c r="D33" s="1692">
        <f t="shared" ref="D33:L33" si="1">SUM(D5:D32)</f>
        <v>22630</v>
      </c>
      <c r="E33" s="1692">
        <f t="shared" si="1"/>
        <v>4768</v>
      </c>
      <c r="F33" s="1692">
        <f t="shared" si="1"/>
        <v>64335</v>
      </c>
      <c r="G33" s="1692">
        <f t="shared" si="1"/>
        <v>32400</v>
      </c>
      <c r="H33" s="1692">
        <f t="shared" si="1"/>
        <v>0</v>
      </c>
      <c r="I33" s="1692">
        <f t="shared" si="1"/>
        <v>6949</v>
      </c>
      <c r="J33" s="1692">
        <f t="shared" si="1"/>
        <v>0</v>
      </c>
      <c r="K33" s="1692">
        <f t="shared" si="1"/>
        <v>361354</v>
      </c>
      <c r="L33" s="1692">
        <f t="shared" si="1"/>
        <v>403449</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c r="D38" s="466"/>
      <c r="E38" s="466"/>
      <c r="F38" s="466"/>
      <c r="G38" s="466"/>
      <c r="H38" s="466"/>
      <c r="I38" s="467"/>
      <c r="J38" s="467"/>
      <c r="K38" s="1693">
        <f t="shared" si="2"/>
        <v>0</v>
      </c>
      <c r="L38" s="466"/>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c r="G41" s="466"/>
      <c r="H41" s="466"/>
      <c r="I41" s="467"/>
      <c r="J41" s="467"/>
      <c r="K41" s="1693">
        <f t="shared" si="2"/>
        <v>0</v>
      </c>
      <c r="L41" s="466"/>
    </row>
    <row r="42" spans="1:14" ht="12.75" customHeight="1" thickBot="1" x14ac:dyDescent="0.25">
      <c r="A42" s="1690" t="s">
        <v>581</v>
      </c>
      <c r="B42" s="1691" t="s">
        <v>740</v>
      </c>
      <c r="C42" s="1692">
        <f>SUM(C36:C41)</f>
        <v>0</v>
      </c>
      <c r="D42" s="1692">
        <f t="shared" ref="D42:L42" si="3">SUM(D36:D41)</f>
        <v>0</v>
      </c>
      <c r="E42" s="1692">
        <f t="shared" si="3"/>
        <v>0</v>
      </c>
      <c r="F42" s="1692">
        <f t="shared" si="3"/>
        <v>0</v>
      </c>
      <c r="G42" s="1692">
        <f t="shared" si="3"/>
        <v>0</v>
      </c>
      <c r="H42" s="1692">
        <f t="shared" si="3"/>
        <v>0</v>
      </c>
      <c r="I42" s="1692">
        <f t="shared" si="3"/>
        <v>0</v>
      </c>
      <c r="J42" s="1692">
        <f t="shared" si="3"/>
        <v>0</v>
      </c>
      <c r="K42" s="1692">
        <f t="shared" si="3"/>
        <v>0</v>
      </c>
      <c r="L42" s="1692">
        <f t="shared" si="3"/>
        <v>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94">
        <f>SUM(C44:J44)</f>
        <v>0</v>
      </c>
      <c r="L44" s="481"/>
    </row>
    <row r="45" spans="1:14" x14ac:dyDescent="0.2">
      <c r="A45" s="1526" t="s">
        <v>869</v>
      </c>
      <c r="B45" s="615">
        <v>2220</v>
      </c>
      <c r="C45" s="466"/>
      <c r="D45" s="466"/>
      <c r="E45" s="466"/>
      <c r="F45" s="466"/>
      <c r="G45" s="466"/>
      <c r="H45" s="466"/>
      <c r="I45" s="467"/>
      <c r="J45" s="467"/>
      <c r="K45" s="1694">
        <f>SUM(C45:J45)</f>
        <v>0</v>
      </c>
      <c r="L45" s="466"/>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0</v>
      </c>
      <c r="D47" s="1692">
        <f t="shared" ref="D47:K47" si="4">SUM(D44:D46)</f>
        <v>0</v>
      </c>
      <c r="E47" s="1692">
        <f t="shared" si="4"/>
        <v>0</v>
      </c>
      <c r="F47" s="1692">
        <f t="shared" si="4"/>
        <v>0</v>
      </c>
      <c r="G47" s="1692">
        <f t="shared" si="4"/>
        <v>0</v>
      </c>
      <c r="H47" s="1692">
        <f t="shared" si="4"/>
        <v>0</v>
      </c>
      <c r="I47" s="1692">
        <f t="shared" si="4"/>
        <v>0</v>
      </c>
      <c r="J47" s="1692">
        <f t="shared" si="4"/>
        <v>0</v>
      </c>
      <c r="K47" s="1692">
        <f t="shared" si="4"/>
        <v>0</v>
      </c>
      <c r="L47" s="1692">
        <f>SUM(L44:L46)</f>
        <v>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c r="F49" s="481"/>
      <c r="G49" s="481"/>
      <c r="H49" s="481"/>
      <c r="I49" s="467"/>
      <c r="J49" s="467"/>
      <c r="K49" s="1694">
        <f>SUM(C49:J49)</f>
        <v>0</v>
      </c>
      <c r="L49" s="481"/>
    </row>
    <row r="50" spans="1:14" x14ac:dyDescent="0.2">
      <c r="A50" s="1526" t="s">
        <v>872</v>
      </c>
      <c r="B50" s="615">
        <v>2320</v>
      </c>
      <c r="C50" s="466"/>
      <c r="D50" s="466"/>
      <c r="E50" s="466"/>
      <c r="F50" s="466"/>
      <c r="G50" s="466"/>
      <c r="H50" s="466"/>
      <c r="I50" s="467"/>
      <c r="J50" s="467"/>
      <c r="K50" s="1694">
        <f>SUM(C50:J50)</f>
        <v>0</v>
      </c>
      <c r="L50" s="466"/>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0</v>
      </c>
      <c r="D53" s="1692">
        <f t="shared" ref="D53:L53" si="5">SUM(D49:D52)</f>
        <v>0</v>
      </c>
      <c r="E53" s="1692">
        <f t="shared" si="5"/>
        <v>0</v>
      </c>
      <c r="F53" s="1692">
        <f t="shared" si="5"/>
        <v>0</v>
      </c>
      <c r="G53" s="1692">
        <f t="shared" si="5"/>
        <v>0</v>
      </c>
      <c r="H53" s="1692">
        <f t="shared" si="5"/>
        <v>0</v>
      </c>
      <c r="I53" s="1692">
        <f t="shared" si="5"/>
        <v>0</v>
      </c>
      <c r="J53" s="1692">
        <f t="shared" si="5"/>
        <v>0</v>
      </c>
      <c r="K53" s="1692">
        <f t="shared" si="5"/>
        <v>0</v>
      </c>
      <c r="L53" s="1692">
        <f t="shared" si="5"/>
        <v>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35489</v>
      </c>
      <c r="D55" s="481">
        <v>11834</v>
      </c>
      <c r="E55" s="481">
        <v>164</v>
      </c>
      <c r="F55" s="481">
        <v>404</v>
      </c>
      <c r="G55" s="481"/>
      <c r="H55" s="481"/>
      <c r="I55" s="467"/>
      <c r="J55" s="467"/>
      <c r="K55" s="1694">
        <f>SUM(C55:J55)</f>
        <v>47891</v>
      </c>
      <c r="L55" s="481">
        <v>49055</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35489</v>
      </c>
      <c r="D57" s="1696">
        <f t="shared" ref="D57:K57" si="6">SUM(D55:D56)</f>
        <v>11834</v>
      </c>
      <c r="E57" s="1696">
        <f t="shared" si="6"/>
        <v>164</v>
      </c>
      <c r="F57" s="1696">
        <f t="shared" si="6"/>
        <v>404</v>
      </c>
      <c r="G57" s="1696">
        <f t="shared" si="6"/>
        <v>0</v>
      </c>
      <c r="H57" s="1696">
        <f t="shared" si="6"/>
        <v>0</v>
      </c>
      <c r="I57" s="1696">
        <f t="shared" si="6"/>
        <v>0</v>
      </c>
      <c r="J57" s="1696">
        <f t="shared" si="6"/>
        <v>0</v>
      </c>
      <c r="K57" s="1696">
        <f t="shared" si="6"/>
        <v>47891</v>
      </c>
      <c r="L57" s="1692">
        <f>SUM(L55:L56)</f>
        <v>49055</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c r="D60" s="466"/>
      <c r="E60" s="466">
        <v>3900</v>
      </c>
      <c r="F60" s="466"/>
      <c r="G60" s="466"/>
      <c r="H60" s="466"/>
      <c r="I60" s="467"/>
      <c r="J60" s="467"/>
      <c r="K60" s="1694">
        <f t="shared" si="7"/>
        <v>3900</v>
      </c>
      <c r="L60" s="466">
        <v>3825</v>
      </c>
      <c r="M60" s="610"/>
      <c r="N60" s="610"/>
    </row>
    <row r="61" spans="1:14" s="343" customFormat="1" x14ac:dyDescent="0.2">
      <c r="A61" s="1526" t="s">
        <v>206</v>
      </c>
      <c r="B61" s="615">
        <v>2540</v>
      </c>
      <c r="C61" s="466"/>
      <c r="D61" s="466"/>
      <c r="E61" s="466">
        <v>35950</v>
      </c>
      <c r="F61" s="466"/>
      <c r="G61" s="466"/>
      <c r="H61" s="466"/>
      <c r="I61" s="467"/>
      <c r="J61" s="467"/>
      <c r="K61" s="1694">
        <f t="shared" si="7"/>
        <v>35950</v>
      </c>
      <c r="L61" s="466">
        <v>35950</v>
      </c>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c r="F63" s="466"/>
      <c r="G63" s="466"/>
      <c r="H63" s="466"/>
      <c r="I63" s="467"/>
      <c r="J63" s="467"/>
      <c r="K63" s="1694">
        <f t="shared" si="7"/>
        <v>0</v>
      </c>
      <c r="L63" s="466"/>
    </row>
    <row r="64" spans="1:14" s="610" customFormat="1" x14ac:dyDescent="0.2">
      <c r="A64" s="1531" t="s">
        <v>103</v>
      </c>
      <c r="B64" s="631">
        <v>2570</v>
      </c>
      <c r="C64" s="481"/>
      <c r="D64" s="481"/>
      <c r="E64" s="481">
        <v>436</v>
      </c>
      <c r="F64" s="481"/>
      <c r="G64" s="481"/>
      <c r="H64" s="481"/>
      <c r="I64" s="467"/>
      <c r="J64" s="467"/>
      <c r="K64" s="1694">
        <f t="shared" si="7"/>
        <v>436</v>
      </c>
      <c r="L64" s="481">
        <v>1000</v>
      </c>
    </row>
    <row r="65" spans="1:14" s="343" customFormat="1" ht="12.75" customHeight="1" thickBot="1" x14ac:dyDescent="0.25">
      <c r="A65" s="1690" t="s">
        <v>743</v>
      </c>
      <c r="B65" s="1691" t="s">
        <v>35</v>
      </c>
      <c r="C65" s="1692">
        <f>SUM(C59:C64)</f>
        <v>0</v>
      </c>
      <c r="D65" s="1692">
        <f t="shared" ref="D65:L65" si="8">SUM(D59:D64)</f>
        <v>0</v>
      </c>
      <c r="E65" s="1692">
        <f t="shared" si="8"/>
        <v>40286</v>
      </c>
      <c r="F65" s="1692">
        <f t="shared" si="8"/>
        <v>0</v>
      </c>
      <c r="G65" s="1692">
        <f t="shared" si="8"/>
        <v>0</v>
      </c>
      <c r="H65" s="1692">
        <f t="shared" si="8"/>
        <v>0</v>
      </c>
      <c r="I65" s="1692">
        <f t="shared" si="8"/>
        <v>0</v>
      </c>
      <c r="J65" s="1692">
        <f t="shared" si="8"/>
        <v>0</v>
      </c>
      <c r="K65" s="1692">
        <f t="shared" si="8"/>
        <v>40286</v>
      </c>
      <c r="L65" s="1692">
        <f t="shared" si="8"/>
        <v>40775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35489</v>
      </c>
      <c r="D74" s="1699">
        <f t="shared" ref="D74:K74" si="10">SUM(D42,D47,D53,D57,D65,D72,D73)</f>
        <v>11834</v>
      </c>
      <c r="E74" s="1699">
        <f t="shared" si="10"/>
        <v>40450</v>
      </c>
      <c r="F74" s="1699">
        <f t="shared" si="10"/>
        <v>404</v>
      </c>
      <c r="G74" s="1699">
        <f t="shared" si="10"/>
        <v>0</v>
      </c>
      <c r="H74" s="1699">
        <f t="shared" si="10"/>
        <v>0</v>
      </c>
      <c r="I74" s="1699">
        <f t="shared" si="10"/>
        <v>0</v>
      </c>
      <c r="J74" s="1699">
        <f t="shared" si="10"/>
        <v>0</v>
      </c>
      <c r="K74" s="1699">
        <f t="shared" si="10"/>
        <v>88177</v>
      </c>
      <c r="L74" s="1699">
        <f>SUM(L42,L47,L53,L57,L65,L72,L73)</f>
        <v>89830</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c r="F79" s="617"/>
      <c r="G79" s="617"/>
      <c r="H79" s="466"/>
      <c r="I79" s="477"/>
      <c r="J79" s="477"/>
      <c r="K79" s="1693">
        <f t="shared" si="11"/>
        <v>0</v>
      </c>
      <c r="L79" s="466"/>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v>24456</v>
      </c>
      <c r="I81" s="477"/>
      <c r="J81" s="477"/>
      <c r="K81" s="1693">
        <f t="shared" si="11"/>
        <v>24456</v>
      </c>
      <c r="L81" s="466">
        <v>58940</v>
      </c>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0</v>
      </c>
      <c r="F84" s="617"/>
      <c r="G84" s="617"/>
      <c r="H84" s="1692">
        <f>SUM(H78:H83)</f>
        <v>24456</v>
      </c>
      <c r="I84" s="477"/>
      <c r="J84" s="477"/>
      <c r="K84" s="1692">
        <f>SUM(K78:K83)</f>
        <v>24456</v>
      </c>
      <c r="L84" s="1692">
        <f>SUM(L78:L83)</f>
        <v>58940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0</v>
      </c>
      <c r="F102" s="617"/>
      <c r="G102" s="617"/>
      <c r="H102" s="1699">
        <f>SUM(H84,H92,H100,H101)</f>
        <v>24456</v>
      </c>
      <c r="I102" s="477"/>
      <c r="J102" s="477"/>
      <c r="K102" s="1699">
        <f>SUM(K84,K92,K100,K101)</f>
        <v>24456</v>
      </c>
      <c r="L102" s="1699">
        <f>SUM(L84,L92,L100,L101)</f>
        <v>58940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265761</v>
      </c>
      <c r="D114" s="1692">
        <f t="shared" ref="D114:K114" si="13">SUM(D33,D74,D75,D102,D112,D113)</f>
        <v>34464</v>
      </c>
      <c r="E114" s="1692">
        <f t="shared" si="13"/>
        <v>45218</v>
      </c>
      <c r="F114" s="1692">
        <f t="shared" si="13"/>
        <v>64739</v>
      </c>
      <c r="G114" s="1692">
        <f t="shared" si="13"/>
        <v>32400</v>
      </c>
      <c r="H114" s="1692">
        <f>SUM(H33,H74,H75,H102,H112,H113)</f>
        <v>24456</v>
      </c>
      <c r="I114" s="1692">
        <f t="shared" si="13"/>
        <v>6949</v>
      </c>
      <c r="J114" s="1692">
        <f t="shared" si="13"/>
        <v>0</v>
      </c>
      <c r="K114" s="1692">
        <f t="shared" si="13"/>
        <v>473987</v>
      </c>
      <c r="L114" s="1692">
        <f>SUM(L33,L74,L75,L102,L112,L113)</f>
        <v>552219</v>
      </c>
    </row>
    <row r="115" spans="1:14" ht="13.5" thickTop="1" x14ac:dyDescent="0.2">
      <c r="A115" s="2197" t="s">
        <v>1053</v>
      </c>
      <c r="B115" s="2198"/>
      <c r="C115" s="619"/>
      <c r="D115" s="619"/>
      <c r="E115" s="619"/>
      <c r="F115" s="619"/>
      <c r="G115" s="619"/>
      <c r="H115" s="619"/>
      <c r="I115" s="619"/>
      <c r="J115" s="619"/>
      <c r="K115" s="1706">
        <f>'Revenues 9-14'!C275-'Expenditures 15-22'!K114</f>
        <v>101976</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5" t="s">
        <v>314</v>
      </c>
      <c r="B117" s="2176"/>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c r="H123" s="466"/>
      <c r="I123" s="467"/>
      <c r="J123" s="467"/>
      <c r="K123" s="1692">
        <f>SUM(C123:J123)</f>
        <v>0</v>
      </c>
      <c r="L123" s="466"/>
    </row>
    <row r="124" spans="1:14" ht="14.25" thickTop="1" thickBot="1" x14ac:dyDescent="0.25">
      <c r="A124" s="1526" t="s">
        <v>206</v>
      </c>
      <c r="B124" s="615">
        <v>2540</v>
      </c>
      <c r="C124" s="466"/>
      <c r="D124" s="466"/>
      <c r="E124" s="466"/>
      <c r="F124" s="466"/>
      <c r="G124" s="466"/>
      <c r="H124" s="466"/>
      <c r="I124" s="467"/>
      <c r="J124" s="467"/>
      <c r="K124" s="1692">
        <f>SUM(C124:J124)</f>
        <v>0</v>
      </c>
      <c r="L124" s="466"/>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0</v>
      </c>
      <c r="D127" s="1692">
        <f t="shared" ref="D127:L127" si="14">SUM(D122:D126)</f>
        <v>0</v>
      </c>
      <c r="E127" s="1692">
        <f t="shared" si="14"/>
        <v>0</v>
      </c>
      <c r="F127" s="1692">
        <f t="shared" si="14"/>
        <v>0</v>
      </c>
      <c r="G127" s="1692">
        <f t="shared" si="14"/>
        <v>0</v>
      </c>
      <c r="H127" s="1692">
        <f t="shared" si="14"/>
        <v>0</v>
      </c>
      <c r="I127" s="1692">
        <f t="shared" si="14"/>
        <v>0</v>
      </c>
      <c r="J127" s="1692">
        <f t="shared" si="14"/>
        <v>0</v>
      </c>
      <c r="K127" s="1692">
        <f t="shared" si="14"/>
        <v>0</v>
      </c>
      <c r="L127" s="1692">
        <f t="shared" si="14"/>
        <v>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0</v>
      </c>
      <c r="D129" s="1699">
        <f t="shared" ref="D129:L129" si="15">SUM(D120,D127,D128)</f>
        <v>0</v>
      </c>
      <c r="E129" s="1699">
        <f t="shared" si="15"/>
        <v>0</v>
      </c>
      <c r="F129" s="1699">
        <f t="shared" si="15"/>
        <v>0</v>
      </c>
      <c r="G129" s="1699">
        <f t="shared" si="15"/>
        <v>0</v>
      </c>
      <c r="H129" s="1699">
        <f t="shared" si="15"/>
        <v>0</v>
      </c>
      <c r="I129" s="1699">
        <f t="shared" si="15"/>
        <v>0</v>
      </c>
      <c r="J129" s="1699">
        <f t="shared" si="15"/>
        <v>0</v>
      </c>
      <c r="K129" s="1699">
        <f t="shared" si="15"/>
        <v>0</v>
      </c>
      <c r="L129" s="1699">
        <f t="shared" si="15"/>
        <v>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87" t="s">
        <v>641</v>
      </c>
      <c r="B151" s="2169"/>
      <c r="C151" s="1692">
        <f>SUM(C129,C130,C139,C149,C150)</f>
        <v>0</v>
      </c>
      <c r="D151" s="1692">
        <f t="shared" ref="D151:K151" si="16">SUM(D129,D130,D139,D149,D150)</f>
        <v>0</v>
      </c>
      <c r="E151" s="1692">
        <f t="shared" si="16"/>
        <v>0</v>
      </c>
      <c r="F151" s="1692">
        <f t="shared" si="16"/>
        <v>0</v>
      </c>
      <c r="G151" s="1692">
        <f t="shared" si="16"/>
        <v>0</v>
      </c>
      <c r="H151" s="1692">
        <f t="shared" si="16"/>
        <v>0</v>
      </c>
      <c r="I151" s="1692">
        <f t="shared" si="16"/>
        <v>0</v>
      </c>
      <c r="J151" s="1692">
        <f t="shared" si="16"/>
        <v>0</v>
      </c>
      <c r="K151" s="1692">
        <f t="shared" si="16"/>
        <v>0</v>
      </c>
      <c r="L151" s="1692">
        <f>SUM(L129,L130,L139,L149,L150)</f>
        <v>0</v>
      </c>
    </row>
    <row r="152" spans="1:14" ht="12.75" customHeight="1" thickTop="1" x14ac:dyDescent="0.2">
      <c r="A152" s="2190" t="s">
        <v>1240</v>
      </c>
      <c r="B152" s="2191"/>
      <c r="C152" s="619"/>
      <c r="D152" s="619"/>
      <c r="E152" s="619"/>
      <c r="F152" s="619"/>
      <c r="G152" s="619"/>
      <c r="H152" s="619"/>
      <c r="I152" s="619"/>
      <c r="J152" s="617"/>
      <c r="K152" s="1706">
        <f>'Revenues 9-14'!D275-'Expenditures 15-22'!K151</f>
        <v>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5" t="s">
        <v>642</v>
      </c>
      <c r="B154" s="2177"/>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c r="I169" s="617"/>
      <c r="J169" s="617"/>
      <c r="K169" s="1693">
        <f>SUM(C169:H169)</f>
        <v>0</v>
      </c>
      <c r="L169" s="657"/>
    </row>
    <row r="170" spans="1:14" ht="33.75" customHeight="1" x14ac:dyDescent="0.2">
      <c r="A170" s="670" t="s">
        <v>1769</v>
      </c>
      <c r="B170" s="672" t="s">
        <v>31</v>
      </c>
      <c r="C170" s="617"/>
      <c r="D170" s="617"/>
      <c r="E170" s="617"/>
      <c r="F170" s="617"/>
      <c r="G170" s="617"/>
      <c r="H170" s="569"/>
      <c r="I170" s="617"/>
      <c r="J170" s="617"/>
      <c r="K170" s="1693">
        <f>SUM(C170:J170)</f>
        <v>0</v>
      </c>
      <c r="L170" s="569"/>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0</v>
      </c>
      <c r="I172" s="639"/>
      <c r="J172" s="617"/>
      <c r="K172" s="1699">
        <f>SUM(K168,K169,K170,K171)</f>
        <v>0</v>
      </c>
      <c r="L172" s="1699">
        <f>SUM(L168,L169,L170,L171)</f>
        <v>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0</v>
      </c>
      <c r="I174" s="639"/>
      <c r="J174" s="617"/>
      <c r="K174" s="1699">
        <f>SUM(K160,K172,K173)</f>
        <v>0</v>
      </c>
      <c r="L174" s="1699">
        <f>SUM(L160,L172,L173)</f>
        <v>0</v>
      </c>
    </row>
    <row r="175" spans="1:14" ht="13.5" thickTop="1" x14ac:dyDescent="0.2">
      <c r="A175" s="2197" t="s">
        <v>1053</v>
      </c>
      <c r="B175" s="2198"/>
      <c r="C175" s="617"/>
      <c r="D175" s="617"/>
      <c r="E175" s="617"/>
      <c r="F175" s="617"/>
      <c r="G175" s="617"/>
      <c r="H175" s="619"/>
      <c r="I175" s="617"/>
      <c r="J175" s="617"/>
      <c r="K175" s="1706">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c r="D182" s="466"/>
      <c r="E182" s="466"/>
      <c r="F182" s="466"/>
      <c r="G182" s="466"/>
      <c r="H182" s="466"/>
      <c r="I182" s="467"/>
      <c r="J182" s="467"/>
      <c r="K182" s="1693">
        <f>SUM(C182:J182)</f>
        <v>0</v>
      </c>
      <c r="L182" s="466"/>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0</v>
      </c>
      <c r="D184" s="1699">
        <f t="shared" ref="D184:J184" si="17">SUM(D180,D182,D183)</f>
        <v>0</v>
      </c>
      <c r="E184" s="1699">
        <f t="shared" si="17"/>
        <v>0</v>
      </c>
      <c r="F184" s="1699">
        <f t="shared" si="17"/>
        <v>0</v>
      </c>
      <c r="G184" s="1699">
        <f t="shared" si="17"/>
        <v>0</v>
      </c>
      <c r="H184" s="1699">
        <f t="shared" si="17"/>
        <v>0</v>
      </c>
      <c r="I184" s="1699">
        <f t="shared" si="17"/>
        <v>0</v>
      </c>
      <c r="J184" s="1699">
        <f t="shared" si="17"/>
        <v>0</v>
      </c>
      <c r="K184" s="1699">
        <f>SUM(K180,K182,K183)</f>
        <v>0</v>
      </c>
      <c r="L184" s="1699">
        <f>SUM(L180, L182:L183)</f>
        <v>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0</v>
      </c>
      <c r="D210" s="1692">
        <f>SUM(D184,D185)</f>
        <v>0</v>
      </c>
      <c r="E210" s="1692">
        <f>SUM(E184,E185,E196)</f>
        <v>0</v>
      </c>
      <c r="F210" s="1692">
        <f>SUM(F184,F185)</f>
        <v>0</v>
      </c>
      <c r="G210" s="1692">
        <f>SUM(G184,G185)</f>
        <v>0</v>
      </c>
      <c r="H210" s="1692">
        <f>SUM(H184,H185,H196,H208,H209)</f>
        <v>0</v>
      </c>
      <c r="I210" s="1692">
        <f>SUM(I184,I185)</f>
        <v>0</v>
      </c>
      <c r="J210" s="1692">
        <f>SUM(J184,J185)</f>
        <v>0</v>
      </c>
      <c r="K210" s="1693">
        <f>SUM(K184,K185,K196,K208,K209)</f>
        <v>0</v>
      </c>
      <c r="L210" s="1692">
        <f>SUM(L184,L185,L196,L208,L209)</f>
        <v>0</v>
      </c>
    </row>
    <row r="211" spans="1:14" ht="13.5" thickTop="1" x14ac:dyDescent="0.2">
      <c r="A211" s="2197" t="s">
        <v>1053</v>
      </c>
      <c r="B211" s="2198"/>
      <c r="C211" s="619"/>
      <c r="D211" s="619"/>
      <c r="E211" s="619"/>
      <c r="F211" s="619"/>
      <c r="G211" s="619"/>
      <c r="H211" s="619"/>
      <c r="I211" s="617"/>
      <c r="J211" s="617"/>
      <c r="K211" s="1706">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2" t="s">
        <v>1022</v>
      </c>
      <c r="B213" s="2193"/>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c r="E215" s="617"/>
      <c r="F215" s="617"/>
      <c r="G215" s="617"/>
      <c r="H215" s="617"/>
      <c r="I215" s="617"/>
      <c r="J215" s="617"/>
      <c r="K215" s="1693">
        <f>D215</f>
        <v>0</v>
      </c>
      <c r="L215" s="466"/>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c r="E223" s="617"/>
      <c r="F223" s="617"/>
      <c r="G223" s="617"/>
      <c r="H223" s="617"/>
      <c r="I223" s="617"/>
      <c r="J223" s="617"/>
      <c r="K223" s="1693">
        <f t="shared" si="19"/>
        <v>0</v>
      </c>
      <c r="L223" s="466"/>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0</v>
      </c>
      <c r="E229" s="617"/>
      <c r="F229" s="617"/>
      <c r="G229" s="617"/>
      <c r="H229" s="617"/>
      <c r="I229" s="617"/>
      <c r="J229" s="617"/>
      <c r="K229" s="1692">
        <f>SUM(K215:K228)</f>
        <v>0</v>
      </c>
      <c r="L229" s="1692">
        <f>SUM(L215:L228)</f>
        <v>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c r="E234" s="617"/>
      <c r="F234" s="617"/>
      <c r="G234" s="617"/>
      <c r="H234" s="617"/>
      <c r="I234" s="617"/>
      <c r="J234" s="617"/>
      <c r="K234" s="1693">
        <f t="shared" si="20"/>
        <v>0</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0</v>
      </c>
      <c r="E238" s="617"/>
      <c r="F238" s="617"/>
      <c r="G238" s="617"/>
      <c r="H238" s="617"/>
      <c r="I238" s="617"/>
      <c r="J238" s="617"/>
      <c r="K238" s="1692">
        <f>SUM(K232:K237)</f>
        <v>0</v>
      </c>
      <c r="L238" s="1692">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c r="E241" s="617"/>
      <c r="F241" s="617"/>
      <c r="G241" s="617"/>
      <c r="H241" s="617"/>
      <c r="I241" s="617"/>
      <c r="J241" s="617"/>
      <c r="K241" s="1694">
        <f>D241</f>
        <v>0</v>
      </c>
      <c r="L241" s="466"/>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0</v>
      </c>
      <c r="E243" s="617"/>
      <c r="F243" s="617"/>
      <c r="G243" s="617"/>
      <c r="H243" s="617"/>
      <c r="I243" s="617"/>
      <c r="J243" s="617"/>
      <c r="K243" s="1692">
        <f>SUM(K240:K242)</f>
        <v>0</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c r="E246" s="617"/>
      <c r="F246" s="617"/>
      <c r="G246" s="617"/>
      <c r="H246" s="617"/>
      <c r="I246" s="617"/>
      <c r="J246" s="617"/>
      <c r="K246" s="1694">
        <f t="shared" ref="K246:K256" si="21">D246</f>
        <v>0</v>
      </c>
      <c r="L246" s="466"/>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0</v>
      </c>
      <c r="E257" s="617"/>
      <c r="F257" s="617"/>
      <c r="G257" s="617"/>
      <c r="H257" s="617"/>
      <c r="I257" s="617"/>
      <c r="J257" s="617"/>
      <c r="K257" s="1692">
        <f>SUM(K245:K256)</f>
        <v>0</v>
      </c>
      <c r="L257" s="1692">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4">
        <f>D259</f>
        <v>0</v>
      </c>
      <c r="L259" s="481"/>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0</v>
      </c>
      <c r="E261" s="617"/>
      <c r="F261" s="617"/>
      <c r="G261" s="617"/>
      <c r="H261" s="617"/>
      <c r="I261" s="617"/>
      <c r="J261" s="617"/>
      <c r="K261" s="1692">
        <f>SUM(K259:K260)</f>
        <v>0</v>
      </c>
      <c r="L261" s="1692">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c r="E264" s="617"/>
      <c r="F264" s="617"/>
      <c r="G264" s="617"/>
      <c r="H264" s="617"/>
      <c r="I264" s="617"/>
      <c r="J264" s="617"/>
      <c r="K264" s="1694">
        <f t="shared" ref="K264:K269" si="22">D264</f>
        <v>0</v>
      </c>
      <c r="L264" s="466"/>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c r="E266" s="617"/>
      <c r="F266" s="617"/>
      <c r="G266" s="617"/>
      <c r="H266" s="617"/>
      <c r="I266" s="617"/>
      <c r="J266" s="617"/>
      <c r="K266" s="1694">
        <f t="shared" si="22"/>
        <v>0</v>
      </c>
      <c r="L266" s="466"/>
    </row>
    <row r="267" spans="1:14" x14ac:dyDescent="0.2">
      <c r="A267" s="1526" t="s">
        <v>1010</v>
      </c>
      <c r="B267" s="615">
        <v>2550</v>
      </c>
      <c r="C267" s="617"/>
      <c r="D267" s="466"/>
      <c r="E267" s="617"/>
      <c r="F267" s="617"/>
      <c r="G267" s="617"/>
      <c r="H267" s="617"/>
      <c r="I267" s="617"/>
      <c r="J267" s="617"/>
      <c r="K267" s="1694">
        <f t="shared" si="22"/>
        <v>0</v>
      </c>
      <c r="L267" s="466"/>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0</v>
      </c>
      <c r="E270" s="617"/>
      <c r="F270" s="617"/>
      <c r="G270" s="617"/>
      <c r="H270" s="617"/>
      <c r="I270" s="617"/>
      <c r="J270" s="617"/>
      <c r="K270" s="1692">
        <f>SUM(K263:K269)</f>
        <v>0</v>
      </c>
      <c r="L270" s="1692">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0</v>
      </c>
      <c r="E279" s="617"/>
      <c r="F279" s="617"/>
      <c r="G279" s="617"/>
      <c r="H279" s="617"/>
      <c r="I279" s="617"/>
      <c r="J279" s="617"/>
      <c r="K279" s="1699">
        <f>SUM(K238,K243,K257,K261,K270,K277,K278)</f>
        <v>0</v>
      </c>
      <c r="L279" s="1699">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88" t="s">
        <v>526</v>
      </c>
      <c r="B295" s="2189"/>
      <c r="C295" s="617"/>
      <c r="D295" s="1692">
        <f>SUM(D229,D279,D280,D285)</f>
        <v>0</v>
      </c>
      <c r="E295" s="617"/>
      <c r="F295" s="617"/>
      <c r="G295" s="617"/>
      <c r="H295" s="1692">
        <f>H293</f>
        <v>0</v>
      </c>
      <c r="I295" s="617"/>
      <c r="J295" s="617"/>
      <c r="K295" s="1692">
        <f>SUM(K229,K279,K280,K285,K293,K294)</f>
        <v>0</v>
      </c>
      <c r="L295" s="1692">
        <f>SUM(L229,L279,L280,L285,L293,L294)</f>
        <v>0</v>
      </c>
    </row>
    <row r="296" spans="1:14" ht="13.5" thickTop="1" x14ac:dyDescent="0.2">
      <c r="A296" s="2197" t="s">
        <v>1053</v>
      </c>
      <c r="B296" s="2198"/>
      <c r="C296" s="617"/>
      <c r="D296" s="619"/>
      <c r="E296" s="617"/>
      <c r="F296" s="617"/>
      <c r="G296" s="617"/>
      <c r="H296" s="688"/>
      <c r="I296" s="617"/>
      <c r="J296" s="617"/>
      <c r="K296" s="1706">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0" t="s">
        <v>145</v>
      </c>
      <c r="B298" s="2174"/>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3">
        <f>SUM(C301:J301)</f>
        <v>0</v>
      </c>
      <c r="L301" s="467"/>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85" t="s">
        <v>295</v>
      </c>
      <c r="B312" s="2186"/>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1" t="s">
        <v>1053</v>
      </c>
      <c r="B313" s="2182"/>
      <c r="C313" s="627"/>
      <c r="D313" s="627"/>
      <c r="E313" s="627"/>
      <c r="F313" s="627"/>
      <c r="G313" s="627"/>
      <c r="H313" s="627"/>
      <c r="I313" s="627"/>
      <c r="J313" s="627"/>
      <c r="K313" s="1707">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4" t="s">
        <v>151</v>
      </c>
      <c r="B315" s="2195"/>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6" t="s">
        <v>954</v>
      </c>
      <c r="B317" s="2195"/>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3">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c r="F322" s="467"/>
      <c r="G322" s="467"/>
      <c r="H322" s="467"/>
      <c r="I322" s="467"/>
      <c r="J322" s="467"/>
      <c r="K322" s="1693">
        <f t="shared" si="24"/>
        <v>0</v>
      </c>
      <c r="L322" s="467"/>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3">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0</v>
      </c>
    </row>
    <row r="343" spans="1:14" ht="12.75" customHeight="1" thickTop="1" x14ac:dyDescent="0.2">
      <c r="A343" s="2183" t="s">
        <v>1053</v>
      </c>
      <c r="B343" s="2184"/>
      <c r="C343" s="617"/>
      <c r="D343" s="617"/>
      <c r="E343" s="617"/>
      <c r="F343" s="617"/>
      <c r="G343" s="617"/>
      <c r="H343" s="617"/>
      <c r="I343" s="617"/>
      <c r="J343" s="617"/>
      <c r="K343" s="1706">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3" t="s">
        <v>1023</v>
      </c>
      <c r="B345" s="2174"/>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3">
        <f>SUM(C348:J348)</f>
        <v>0</v>
      </c>
      <c r="L348" s="466"/>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0</v>
      </c>
      <c r="F350" s="1692">
        <f t="shared" si="26"/>
        <v>0</v>
      </c>
      <c r="G350" s="1692">
        <f t="shared" si="26"/>
        <v>0</v>
      </c>
      <c r="H350" s="1692">
        <f t="shared" si="26"/>
        <v>0</v>
      </c>
      <c r="I350" s="1692">
        <f t="shared" si="26"/>
        <v>0</v>
      </c>
      <c r="J350" s="1692">
        <f t="shared" si="26"/>
        <v>0</v>
      </c>
      <c r="K350" s="1692">
        <f t="shared" si="26"/>
        <v>0</v>
      </c>
      <c r="L350" s="1692">
        <f t="shared" si="26"/>
        <v>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0</v>
      </c>
      <c r="F352" s="1692">
        <f t="shared" si="27"/>
        <v>0</v>
      </c>
      <c r="G352" s="1692">
        <f t="shared" si="27"/>
        <v>0</v>
      </c>
      <c r="H352" s="1692">
        <f t="shared" si="27"/>
        <v>0</v>
      </c>
      <c r="I352" s="1692">
        <f t="shared" si="27"/>
        <v>0</v>
      </c>
      <c r="J352" s="1692">
        <f t="shared" si="27"/>
        <v>0</v>
      </c>
      <c r="K352" s="1692">
        <f t="shared" si="27"/>
        <v>0</v>
      </c>
      <c r="L352" s="1692">
        <f t="shared" si="27"/>
        <v>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0</v>
      </c>
      <c r="F367" s="1692">
        <f t="shared" si="28"/>
        <v>0</v>
      </c>
      <c r="G367" s="1692">
        <f t="shared" si="28"/>
        <v>0</v>
      </c>
      <c r="H367" s="1692">
        <f t="shared" si="28"/>
        <v>0</v>
      </c>
      <c r="I367" s="1692">
        <f t="shared" si="28"/>
        <v>0</v>
      </c>
      <c r="J367" s="1692">
        <f t="shared" si="28"/>
        <v>0</v>
      </c>
      <c r="K367" s="1692">
        <f t="shared" si="28"/>
        <v>0</v>
      </c>
      <c r="L367" s="1692">
        <f t="shared" si="28"/>
        <v>0</v>
      </c>
    </row>
    <row r="368" spans="1:14" ht="13.5" thickTop="1" x14ac:dyDescent="0.2">
      <c r="A368" s="2197" t="s">
        <v>1053</v>
      </c>
      <c r="B368" s="2198"/>
      <c r="C368" s="655"/>
      <c r="D368" s="655"/>
      <c r="E368" s="627"/>
      <c r="F368" s="627"/>
      <c r="G368" s="627"/>
      <c r="H368" s="627"/>
      <c r="I368" s="627"/>
      <c r="J368" s="624"/>
      <c r="K368" s="1693">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notes are an intergral part of the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F3" sqref="F3"/>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9" t="s">
        <v>1905</v>
      </c>
      <c r="B2" s="1550" t="s">
        <v>2037</v>
      </c>
      <c r="C2" s="715" t="s">
        <v>1910</v>
      </c>
      <c r="D2" s="715" t="s">
        <v>1911</v>
      </c>
      <c r="E2" s="715" t="s">
        <v>1912</v>
      </c>
      <c r="F2" s="715" t="s">
        <v>1913</v>
      </c>
    </row>
    <row r="3" spans="1:6" ht="12" customHeight="1" x14ac:dyDescent="0.2">
      <c r="A3" s="2200"/>
      <c r="B3" s="1547"/>
      <c r="C3" s="1548"/>
      <c r="D3" s="1549" t="s">
        <v>274</v>
      </c>
      <c r="E3" s="1548"/>
      <c r="F3" s="1549" t="s">
        <v>275</v>
      </c>
    </row>
    <row r="4" spans="1:6" ht="13.7" customHeight="1" x14ac:dyDescent="0.2">
      <c r="A4" s="716" t="s">
        <v>1217</v>
      </c>
      <c r="B4" s="1771">
        <f>'Revenues 9-14'!C5</f>
        <v>0</v>
      </c>
      <c r="C4" s="1546"/>
      <c r="D4" s="1774">
        <f>B4-C4</f>
        <v>0</v>
      </c>
      <c r="E4" s="1546"/>
      <c r="F4" s="1774">
        <f>E4-C4</f>
        <v>0</v>
      </c>
    </row>
    <row r="5" spans="1:6" ht="13.7" customHeight="1" x14ac:dyDescent="0.2">
      <c r="A5" s="716" t="s">
        <v>925</v>
      </c>
      <c r="B5" s="1772">
        <f>'Revenues 9-14'!D5</f>
        <v>0</v>
      </c>
      <c r="C5" s="585"/>
      <c r="D5" s="1775">
        <f t="shared" ref="D5:D18" si="0">B5-C5</f>
        <v>0</v>
      </c>
      <c r="E5" s="585"/>
      <c r="F5" s="1775">
        <f>E5-C5</f>
        <v>0</v>
      </c>
    </row>
    <row r="6" spans="1:6" ht="13.7" customHeight="1" x14ac:dyDescent="0.2">
      <c r="A6" s="716" t="s">
        <v>431</v>
      </c>
      <c r="B6" s="1772">
        <f>'Revenues 9-14'!E5</f>
        <v>0</v>
      </c>
      <c r="C6" s="585"/>
      <c r="D6" s="1775">
        <f t="shared" si="0"/>
        <v>0</v>
      </c>
      <c r="E6" s="585"/>
      <c r="F6" s="1775">
        <f t="shared" ref="F6:F18" si="1">E6-C6</f>
        <v>0</v>
      </c>
    </row>
    <row r="7" spans="1:6" ht="13.7" customHeight="1" x14ac:dyDescent="0.2">
      <c r="A7" s="716" t="s">
        <v>157</v>
      </c>
      <c r="B7" s="1772">
        <f>'Revenues 9-14'!F5</f>
        <v>0</v>
      </c>
      <c r="C7" s="585"/>
      <c r="D7" s="1775">
        <f t="shared" si="0"/>
        <v>0</v>
      </c>
      <c r="E7" s="585"/>
      <c r="F7" s="1775">
        <f t="shared" si="1"/>
        <v>0</v>
      </c>
    </row>
    <row r="8" spans="1:6" ht="13.7" customHeight="1" x14ac:dyDescent="0.2">
      <c r="A8" s="716" t="s">
        <v>1241</v>
      </c>
      <c r="B8" s="1772">
        <f>'Revenues 9-14'!G5</f>
        <v>0</v>
      </c>
      <c r="C8" s="585"/>
      <c r="D8" s="1775">
        <f t="shared" si="0"/>
        <v>0</v>
      </c>
      <c r="E8" s="585"/>
      <c r="F8" s="1775">
        <f t="shared" si="1"/>
        <v>0</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0</v>
      </c>
      <c r="C10" s="585"/>
      <c r="D10" s="1775">
        <f t="shared" si="0"/>
        <v>0</v>
      </c>
      <c r="E10" s="585"/>
      <c r="F10" s="1775">
        <f t="shared" si="1"/>
        <v>0</v>
      </c>
    </row>
    <row r="11" spans="1:6" x14ac:dyDescent="0.2">
      <c r="A11" s="716" t="s">
        <v>429</v>
      </c>
      <c r="B11" s="1772">
        <f>'Revenues 9-14'!J5</f>
        <v>0</v>
      </c>
      <c r="C11" s="585"/>
      <c r="D11" s="1775">
        <f t="shared" si="0"/>
        <v>0</v>
      </c>
      <c r="E11" s="585"/>
      <c r="F11" s="1775">
        <f t="shared" si="1"/>
        <v>0</v>
      </c>
    </row>
    <row r="12" spans="1:6" ht="13.7" customHeight="1" x14ac:dyDescent="0.2">
      <c r="A12" s="716" t="s">
        <v>159</v>
      </c>
      <c r="B12" s="1772">
        <f>'Revenues 9-14'!K5</f>
        <v>0</v>
      </c>
      <c r="C12" s="585"/>
      <c r="D12" s="1775">
        <f t="shared" si="0"/>
        <v>0</v>
      </c>
      <c r="E12" s="585"/>
      <c r="F12" s="1775">
        <f t="shared" si="1"/>
        <v>0</v>
      </c>
    </row>
    <row r="13" spans="1:6" ht="13.7" customHeight="1" x14ac:dyDescent="0.2">
      <c r="A13" s="716" t="s">
        <v>993</v>
      </c>
      <c r="B13" s="1772">
        <f>SUM('Revenues 9-14'!C6:D6)</f>
        <v>0</v>
      </c>
      <c r="C13" s="585"/>
      <c r="D13" s="1775">
        <f t="shared" si="0"/>
        <v>0</v>
      </c>
      <c r="E13" s="585"/>
      <c r="F13" s="1775">
        <f t="shared" si="1"/>
        <v>0</v>
      </c>
    </row>
    <row r="14" spans="1:6" ht="13.7" customHeight="1" x14ac:dyDescent="0.2">
      <c r="A14" s="716" t="s">
        <v>430</v>
      </c>
      <c r="B14" s="1772">
        <f>SUM('Revenues 9-14'!C7:D7,'Revenues 9-14'!F7:H7)</f>
        <v>0</v>
      </c>
      <c r="C14" s="585"/>
      <c r="D14" s="1775">
        <f t="shared" si="0"/>
        <v>0</v>
      </c>
      <c r="E14" s="585"/>
      <c r="F14" s="1775">
        <f t="shared" si="1"/>
        <v>0</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0</v>
      </c>
      <c r="C16" s="585"/>
      <c r="D16" s="1775">
        <f t="shared" si="0"/>
        <v>0</v>
      </c>
      <c r="E16" s="585"/>
      <c r="F16" s="1775">
        <f t="shared" si="1"/>
        <v>0</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0</v>
      </c>
      <c r="C19" s="1773">
        <f>SUM(C4:C18)</f>
        <v>0</v>
      </c>
      <c r="D19" s="1773">
        <f>SUM(D4:D18)</f>
        <v>0</v>
      </c>
      <c r="E19" s="1773">
        <f>SUM(E4:E18)</f>
        <v>0</v>
      </c>
      <c r="F19" s="1773">
        <f>SUM(F4:F18)</f>
        <v>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sqref="A1:B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650</v>
      </c>
      <c r="B1" s="2206"/>
      <c r="C1" s="722"/>
    </row>
    <row r="2" spans="1:7" ht="33.75" x14ac:dyDescent="0.2">
      <c r="A2" s="2214" t="s">
        <v>1905</v>
      </c>
      <c r="B2" s="2215"/>
      <c r="C2" s="1909" t="s">
        <v>2038</v>
      </c>
      <c r="D2" s="724" t="s">
        <v>2045</v>
      </c>
      <c r="E2" s="724" t="s">
        <v>2046</v>
      </c>
      <c r="F2" s="1909" t="s">
        <v>2039</v>
      </c>
    </row>
    <row r="3" spans="1:7" ht="15.75" customHeight="1" x14ac:dyDescent="0.2">
      <c r="A3" s="2218" t="s">
        <v>1176</v>
      </c>
      <c r="B3" s="2219"/>
      <c r="C3" s="2207"/>
      <c r="D3" s="2208"/>
      <c r="E3" s="2208"/>
      <c r="F3" s="2209"/>
    </row>
    <row r="4" spans="1:7" ht="12.75" customHeight="1" thickBot="1" x14ac:dyDescent="0.25">
      <c r="A4" s="2216" t="s">
        <v>651</v>
      </c>
      <c r="B4" s="2217"/>
      <c r="C4" s="581"/>
      <c r="D4" s="581"/>
      <c r="E4" s="581"/>
      <c r="F4" s="1777">
        <f>SUM(C4+D4)-E4</f>
        <v>0</v>
      </c>
    </row>
    <row r="5" spans="1:7" ht="15.75" customHeight="1" thickTop="1" x14ac:dyDescent="0.2">
      <c r="A5" s="2201" t="s">
        <v>1172</v>
      </c>
      <c r="B5" s="2202"/>
      <c r="C5" s="2210"/>
      <c r="D5" s="2211"/>
      <c r="E5" s="2211"/>
      <c r="F5" s="2212"/>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03" t="s">
        <v>652</v>
      </c>
      <c r="B15" s="2204"/>
      <c r="C15" s="1777">
        <f>SUM(C6:C14)</f>
        <v>0</v>
      </c>
      <c r="D15" s="1777">
        <f>SUM(D6:D14)</f>
        <v>0</v>
      </c>
      <c r="E15" s="1777">
        <f>SUM(E6:E14)</f>
        <v>0</v>
      </c>
      <c r="F15" s="1777">
        <f>SUM(F6:F14)</f>
        <v>0</v>
      </c>
      <c r="G15" s="552"/>
    </row>
    <row r="16" spans="1:7" s="202" customFormat="1" ht="15.75" customHeight="1" thickTop="1" x14ac:dyDescent="0.2">
      <c r="A16" s="2213" t="s">
        <v>1173</v>
      </c>
      <c r="B16" s="2202"/>
      <c r="C16" s="2210"/>
      <c r="D16" s="2211"/>
      <c r="E16" s="2211"/>
      <c r="F16" s="2212"/>
    </row>
    <row r="17" spans="1:11" ht="12.75" customHeight="1" thickBot="1" x14ac:dyDescent="0.25">
      <c r="A17" s="2226" t="s">
        <v>66</v>
      </c>
      <c r="B17" s="2227"/>
      <c r="C17" s="727"/>
      <c r="D17" s="585"/>
      <c r="E17" s="727"/>
      <c r="F17" s="1777">
        <f>SUM(C17+D17)-E17</f>
        <v>0</v>
      </c>
    </row>
    <row r="18" spans="1:11" ht="12.75" customHeight="1" thickTop="1" thickBot="1" x14ac:dyDescent="0.25">
      <c r="A18" s="2226" t="s">
        <v>6</v>
      </c>
      <c r="B18" s="2227"/>
      <c r="C18" s="727"/>
      <c r="D18" s="585"/>
      <c r="E18" s="727"/>
      <c r="F18" s="1777">
        <f>SUM(C18+D18)-E18</f>
        <v>0</v>
      </c>
    </row>
    <row r="19" spans="1:11" ht="12.75" customHeight="1" thickTop="1" thickBot="1" x14ac:dyDescent="0.25">
      <c r="A19" s="2226" t="s">
        <v>406</v>
      </c>
      <c r="B19" s="2227"/>
      <c r="C19" s="727"/>
      <c r="D19" s="585"/>
      <c r="E19" s="727"/>
      <c r="F19" s="1777">
        <f>SUM(C19+D19)-E19</f>
        <v>0</v>
      </c>
    </row>
    <row r="20" spans="1:11" ht="12.75" customHeight="1" thickTop="1" thickBot="1" x14ac:dyDescent="0.25">
      <c r="A20" s="2226" t="s">
        <v>468</v>
      </c>
      <c r="B20" s="2227"/>
      <c r="C20" s="727"/>
      <c r="D20" s="585"/>
      <c r="E20" s="727"/>
      <c r="F20" s="1777">
        <f>SUM(C20+D20)-E20</f>
        <v>0</v>
      </c>
    </row>
    <row r="21" spans="1:11" ht="14.25" thickTop="1" thickBot="1" x14ac:dyDescent="0.25">
      <c r="A21" s="2203" t="s">
        <v>653</v>
      </c>
      <c r="B21" s="2204"/>
      <c r="C21" s="1777">
        <f>SUM(C17:C20)</f>
        <v>0</v>
      </c>
      <c r="D21" s="1777">
        <f>SUM(D17:D20)</f>
        <v>0</v>
      </c>
      <c r="E21" s="1777">
        <f>SUM(E17:E20)</f>
        <v>0</v>
      </c>
      <c r="F21" s="1777">
        <f>SUM(F17:F20)</f>
        <v>0</v>
      </c>
      <c r="G21" s="552"/>
    </row>
    <row r="22" spans="1:11" ht="15.75" customHeight="1" thickTop="1" x14ac:dyDescent="0.2">
      <c r="A22" s="2228" t="s">
        <v>1174</v>
      </c>
      <c r="B22" s="2202"/>
      <c r="C22" s="2210"/>
      <c r="D22" s="2211"/>
      <c r="E22" s="2211"/>
      <c r="F22" s="2212"/>
    </row>
    <row r="23" spans="1:11" ht="13.5" thickBot="1" x14ac:dyDescent="0.25">
      <c r="A23" s="2216" t="s">
        <v>654</v>
      </c>
      <c r="B23" s="2217"/>
      <c r="C23" s="581"/>
      <c r="D23" s="581"/>
      <c r="E23" s="581"/>
      <c r="F23" s="1777">
        <f>SUM(C23+D23)-E23</f>
        <v>0</v>
      </c>
      <c r="G23" s="552"/>
    </row>
    <row r="24" spans="1:11" ht="15.75" customHeight="1" thickTop="1" x14ac:dyDescent="0.2">
      <c r="A24" s="2228" t="s">
        <v>1175</v>
      </c>
      <c r="B24" s="2202"/>
      <c r="C24" s="2210"/>
      <c r="D24" s="2211"/>
      <c r="E24" s="2211"/>
      <c r="F24" s="2212"/>
    </row>
    <row r="25" spans="1:11" ht="13.5" thickBot="1" x14ac:dyDescent="0.25">
      <c r="A25" s="2216" t="s">
        <v>655</v>
      </c>
      <c r="B25" s="2217"/>
      <c r="C25" s="581"/>
      <c r="D25" s="581"/>
      <c r="E25" s="581"/>
      <c r="F25" s="1777">
        <f>SUM(C25+D25)-E25</f>
        <v>0</v>
      </c>
      <c r="G25" s="552"/>
    </row>
    <row r="26" spans="1:11" ht="15.75" customHeight="1" thickTop="1" x14ac:dyDescent="0.2">
      <c r="A26" s="2201" t="s">
        <v>678</v>
      </c>
      <c r="B26" s="2202"/>
      <c r="C26" s="728"/>
      <c r="D26" s="728"/>
      <c r="E26" s="728"/>
      <c r="F26" s="729"/>
    </row>
    <row r="27" spans="1:11" ht="13.5" thickBot="1" x14ac:dyDescent="0.25">
      <c r="A27" s="2203" t="s">
        <v>1130</v>
      </c>
      <c r="B27" s="2204"/>
      <c r="C27" s="585"/>
      <c r="D27" s="585"/>
      <c r="E27" s="585"/>
      <c r="F27" s="1777">
        <f>SUM(C27+D27)-E27</f>
        <v>0</v>
      </c>
      <c r="G27" s="552"/>
    </row>
    <row r="28" spans="1:11" ht="7.5" customHeight="1" thickTop="1" x14ac:dyDescent="0.2">
      <c r="A28" s="594"/>
    </row>
    <row r="29" spans="1:11" ht="23.25" customHeight="1" x14ac:dyDescent="0.2">
      <c r="A29" s="2229" t="s">
        <v>603</v>
      </c>
      <c r="B29" s="2206"/>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c r="B31" s="734"/>
      <c r="C31" s="735"/>
      <c r="D31" s="736"/>
      <c r="E31" s="735"/>
      <c r="F31" s="735"/>
      <c r="G31" s="735"/>
      <c r="H31" s="735"/>
      <c r="I31" s="1778">
        <f>((E31+F31)-H31)+G31</f>
        <v>0</v>
      </c>
      <c r="J31" s="735"/>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0</v>
      </c>
      <c r="D49" s="746"/>
      <c r="E49" s="1778">
        <f t="shared" ref="E49:J49" si="2">SUM(E31:E48)</f>
        <v>0</v>
      </c>
      <c r="F49" s="1778">
        <f t="shared" si="2"/>
        <v>0</v>
      </c>
      <c r="G49" s="1778">
        <f t="shared" si="2"/>
        <v>0</v>
      </c>
      <c r="H49" s="1778">
        <f t="shared" si="2"/>
        <v>0</v>
      </c>
      <c r="I49" s="1778">
        <f t="shared" si="2"/>
        <v>0</v>
      </c>
      <c r="J49" s="1778">
        <f t="shared" si="2"/>
        <v>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20" t="s">
        <v>605</v>
      </c>
      <c r="C52" s="2221"/>
      <c r="D52" s="2221"/>
      <c r="E52" s="750" t="s">
        <v>900</v>
      </c>
      <c r="F52" s="2222"/>
      <c r="G52" s="2223"/>
      <c r="H52" s="737"/>
      <c r="I52" s="737"/>
      <c r="J52" s="747"/>
    </row>
    <row r="53" spans="1:11" ht="11.25" customHeight="1" x14ac:dyDescent="0.2">
      <c r="A53" s="751" t="s">
        <v>969</v>
      </c>
      <c r="B53" s="752" t="s">
        <v>1008</v>
      </c>
      <c r="C53" s="747"/>
      <c r="D53" s="738"/>
      <c r="E53" s="750" t="s">
        <v>518</v>
      </c>
      <c r="F53" s="2224"/>
      <c r="G53" s="2225"/>
      <c r="H53" s="737"/>
      <c r="I53" s="737"/>
      <c r="J53" s="747"/>
    </row>
    <row r="54" spans="1:11" ht="11.25" customHeight="1" x14ac:dyDescent="0.2">
      <c r="A54" s="753" t="s">
        <v>970</v>
      </c>
      <c r="B54" s="748" t="s">
        <v>1009</v>
      </c>
      <c r="C54" s="747"/>
      <c r="D54" s="738"/>
      <c r="E54" s="750" t="s">
        <v>519</v>
      </c>
      <c r="F54" s="2224"/>
      <c r="G54" s="222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911</v>
      </c>
      <c r="B1" s="2255"/>
      <c r="C1" s="2255"/>
      <c r="D1" s="2255"/>
      <c r="E1" s="2255"/>
      <c r="F1" s="2255"/>
      <c r="G1" s="2256"/>
      <c r="H1" s="1552"/>
      <c r="I1" s="761"/>
      <c r="J1" s="433"/>
    </row>
    <row r="2" spans="1:11" ht="26.25" x14ac:dyDescent="0.2">
      <c r="A2" s="2233" t="s">
        <v>1776</v>
      </c>
      <c r="B2" s="2234"/>
      <c r="C2" s="2234"/>
      <c r="D2" s="2234"/>
      <c r="E2" s="2235"/>
      <c r="F2" s="762" t="s">
        <v>960</v>
      </c>
      <c r="G2" s="763" t="s">
        <v>1773</v>
      </c>
      <c r="H2" s="763" t="s">
        <v>430</v>
      </c>
      <c r="I2" s="763" t="s">
        <v>1220</v>
      </c>
      <c r="J2" s="763" t="s">
        <v>1919</v>
      </c>
      <c r="K2" s="763" t="s">
        <v>140</v>
      </c>
    </row>
    <row r="3" spans="1:11" x14ac:dyDescent="0.2">
      <c r="A3" s="2236" t="s">
        <v>1698</v>
      </c>
      <c r="B3" s="2237"/>
      <c r="C3" s="2237"/>
      <c r="D3" s="2237"/>
      <c r="E3" s="2238"/>
      <c r="F3" s="764"/>
      <c r="G3" s="765"/>
      <c r="H3" s="765"/>
      <c r="I3" s="765"/>
      <c r="J3" s="766"/>
      <c r="K3" s="766"/>
    </row>
    <row r="4" spans="1:11" x14ac:dyDescent="0.2">
      <c r="A4" s="2239" t="s">
        <v>387</v>
      </c>
      <c r="B4" s="2240"/>
      <c r="C4" s="2240"/>
      <c r="D4" s="2240"/>
      <c r="E4" s="2221"/>
      <c r="F4" s="767"/>
      <c r="G4" s="768"/>
      <c r="H4" s="769"/>
      <c r="I4" s="768"/>
      <c r="J4" s="770"/>
      <c r="K4" s="770"/>
    </row>
    <row r="5" spans="1:11" x14ac:dyDescent="0.2">
      <c r="A5" s="2257" t="s">
        <v>1129</v>
      </c>
      <c r="B5" s="2230"/>
      <c r="C5" s="2230"/>
      <c r="D5" s="2230"/>
      <c r="E5" s="2258"/>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57" t="s">
        <v>1920</v>
      </c>
      <c r="B10" s="2230"/>
      <c r="C10" s="2230"/>
      <c r="D10" s="2230"/>
      <c r="E10" s="2259"/>
      <c r="F10" s="784" t="s">
        <v>917</v>
      </c>
      <c r="G10" s="783"/>
      <c r="H10" s="785"/>
      <c r="I10" s="765"/>
      <c r="J10" s="766"/>
      <c r="K10" s="766"/>
    </row>
    <row r="11" spans="1:11" x14ac:dyDescent="0.2">
      <c r="A11" s="2257" t="s">
        <v>162</v>
      </c>
      <c r="B11" s="2230"/>
      <c r="C11" s="2230"/>
      <c r="D11" s="2230"/>
      <c r="E11" s="2258"/>
      <c r="F11" s="771" t="s">
        <v>907</v>
      </c>
      <c r="G11" s="772"/>
      <c r="H11" s="765"/>
      <c r="I11" s="765"/>
      <c r="J11" s="766"/>
      <c r="K11" s="774"/>
    </row>
    <row r="12" spans="1:11" ht="13.5" thickBot="1" x14ac:dyDescent="0.25">
      <c r="A12" s="2247" t="s">
        <v>961</v>
      </c>
      <c r="B12" s="2248"/>
      <c r="C12" s="2248"/>
      <c r="D12" s="2248"/>
      <c r="E12" s="2249"/>
      <c r="F12" s="1779"/>
      <c r="G12" s="1780">
        <f>SUM(G5:G11)</f>
        <v>0</v>
      </c>
      <c r="H12" s="1780">
        <f>SUM(H5:H11)</f>
        <v>0</v>
      </c>
      <c r="I12" s="1780">
        <f>SUM(I5:I11)</f>
        <v>0</v>
      </c>
      <c r="J12" s="1780">
        <f>SUM(J5:J11)</f>
        <v>0</v>
      </c>
      <c r="K12" s="1780">
        <f>SUM(K5:K11)</f>
        <v>0</v>
      </c>
    </row>
    <row r="13" spans="1:11" ht="13.5" thickTop="1" x14ac:dyDescent="0.2">
      <c r="A13" s="2241" t="s">
        <v>388</v>
      </c>
      <c r="B13" s="2242"/>
      <c r="C13" s="2242"/>
      <c r="D13" s="2242"/>
      <c r="E13" s="2243"/>
      <c r="F13" s="786"/>
      <c r="G13" s="787"/>
      <c r="H13" s="788"/>
      <c r="I13" s="789"/>
      <c r="J13" s="789"/>
      <c r="K13" s="789"/>
    </row>
    <row r="14" spans="1:11" x14ac:dyDescent="0.2">
      <c r="A14" s="2263" t="s">
        <v>476</v>
      </c>
      <c r="B14" s="2263"/>
      <c r="C14" s="2263"/>
      <c r="D14" s="2263"/>
      <c r="E14" s="2264"/>
      <c r="F14" s="790" t="s">
        <v>909</v>
      </c>
      <c r="G14" s="783"/>
      <c r="H14" s="765"/>
      <c r="I14" s="772"/>
      <c r="J14" s="774"/>
      <c r="K14" s="766"/>
    </row>
    <row r="15" spans="1:11" x14ac:dyDescent="0.2">
      <c r="A15" s="2230" t="s">
        <v>4</v>
      </c>
      <c r="B15" s="2230"/>
      <c r="C15" s="2230"/>
      <c r="D15" s="2230"/>
      <c r="E15" s="2258"/>
      <c r="F15" s="790" t="s">
        <v>910</v>
      </c>
      <c r="G15" s="772"/>
      <c r="H15" s="765"/>
      <c r="I15" s="765"/>
      <c r="J15" s="766"/>
      <c r="K15" s="766"/>
    </row>
    <row r="16" spans="1:11" x14ac:dyDescent="0.2">
      <c r="A16" s="2230" t="s">
        <v>316</v>
      </c>
      <c r="B16" s="2230"/>
      <c r="C16" s="2230"/>
      <c r="D16" s="2230"/>
      <c r="E16" s="2258"/>
      <c r="F16" s="790" t="s">
        <v>980</v>
      </c>
      <c r="G16" s="773"/>
      <c r="H16" s="768"/>
      <c r="I16" s="768"/>
      <c r="J16" s="770"/>
      <c r="K16" s="770"/>
    </row>
    <row r="17" spans="1:11" x14ac:dyDescent="0.2">
      <c r="A17" s="2252" t="s">
        <v>992</v>
      </c>
      <c r="B17" s="2252"/>
      <c r="C17" s="2252"/>
      <c r="D17" s="2252"/>
      <c r="E17" s="2253"/>
      <c r="F17" s="791"/>
      <c r="G17" s="792"/>
      <c r="H17" s="793"/>
      <c r="I17" s="793"/>
      <c r="J17" s="794"/>
      <c r="K17" s="795"/>
    </row>
    <row r="18" spans="1:11" x14ac:dyDescent="0.2">
      <c r="A18" s="2244" t="s">
        <v>386</v>
      </c>
      <c r="B18" s="2245"/>
      <c r="C18" s="2245"/>
      <c r="D18" s="2245"/>
      <c r="E18" s="2246"/>
      <c r="F18" s="790" t="s">
        <v>989</v>
      </c>
      <c r="G18" s="783"/>
      <c r="H18" s="783"/>
      <c r="I18" s="783"/>
      <c r="J18" s="766"/>
      <c r="K18" s="796"/>
    </row>
    <row r="19" spans="1:11" ht="21.75" customHeight="1" x14ac:dyDescent="0.2">
      <c r="A19" s="2265" t="s">
        <v>1916</v>
      </c>
      <c r="B19" s="2265"/>
      <c r="C19" s="2265"/>
      <c r="D19" s="2265"/>
      <c r="E19" s="2266"/>
      <c r="F19" s="790" t="s">
        <v>990</v>
      </c>
      <c r="G19" s="783"/>
      <c r="H19" s="783"/>
      <c r="I19" s="783"/>
      <c r="J19" s="766"/>
      <c r="K19" s="796"/>
    </row>
    <row r="20" spans="1:11" x14ac:dyDescent="0.2">
      <c r="A20" s="2244" t="s">
        <v>1921</v>
      </c>
      <c r="B20" s="2245"/>
      <c r="C20" s="2245"/>
      <c r="D20" s="2245"/>
      <c r="E20" s="2246"/>
      <c r="F20" s="790" t="s">
        <v>991</v>
      </c>
      <c r="G20" s="783"/>
      <c r="H20" s="783"/>
      <c r="I20" s="783"/>
      <c r="J20" s="766"/>
      <c r="K20" s="796"/>
    </row>
    <row r="21" spans="1:11" ht="13.5" thickBot="1" x14ac:dyDescent="0.25">
      <c r="A21" s="2250" t="s">
        <v>659</v>
      </c>
      <c r="B21" s="2250"/>
      <c r="C21" s="2250"/>
      <c r="D21" s="2250"/>
      <c r="E21" s="2250"/>
      <c r="F21" s="1781"/>
      <c r="G21" s="793"/>
      <c r="H21" s="797"/>
      <c r="I21" s="797"/>
      <c r="J21" s="1782">
        <f>SUM(J18:J20)</f>
        <v>0</v>
      </c>
      <c r="K21" s="794"/>
    </row>
    <row r="22" spans="1:11" ht="13.5" thickTop="1" x14ac:dyDescent="0.2">
      <c r="A22" s="2230" t="s">
        <v>1922</v>
      </c>
      <c r="B22" s="2230"/>
      <c r="C22" s="2230"/>
      <c r="D22" s="2230"/>
      <c r="E22" s="2258"/>
      <c r="F22" s="790" t="s">
        <v>917</v>
      </c>
      <c r="G22" s="783"/>
      <c r="H22" s="765"/>
      <c r="I22" s="765"/>
      <c r="J22" s="798"/>
      <c r="K22" s="766"/>
    </row>
    <row r="23" spans="1:11" ht="13.5" thickBot="1" x14ac:dyDescent="0.25">
      <c r="A23" s="2251" t="s">
        <v>962</v>
      </c>
      <c r="B23" s="2250"/>
      <c r="C23" s="2250"/>
      <c r="D23" s="2250"/>
      <c r="E23" s="2250"/>
      <c r="F23" s="1783"/>
      <c r="G23" s="1780">
        <f>SUM(G14:G16,G21,G22)</f>
        <v>0</v>
      </c>
      <c r="H23" s="1780">
        <f>SUM(H14:H16,H21,H22)</f>
        <v>0</v>
      </c>
      <c r="I23" s="1780">
        <f>SUM(I14:I16,I21,I22)</f>
        <v>0</v>
      </c>
      <c r="J23" s="1780">
        <f>SUM(J14:J16,J21,J22)</f>
        <v>0</v>
      </c>
      <c r="K23" s="1780">
        <f>SUM(K14:K16,K21,K22)</f>
        <v>0</v>
      </c>
    </row>
    <row r="24" spans="1:11" ht="14.25" thickTop="1" thickBot="1" x14ac:dyDescent="0.25">
      <c r="A24" s="2251" t="s">
        <v>2026</v>
      </c>
      <c r="B24" s="2250"/>
      <c r="C24" s="2250"/>
      <c r="D24" s="2250"/>
      <c r="E24" s="2250"/>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60"/>
      <c r="I31" s="2261"/>
      <c r="J31" s="2261"/>
      <c r="K31" s="2261"/>
    </row>
    <row r="32" spans="1:11" x14ac:dyDescent="0.2">
      <c r="A32" s="810"/>
      <c r="B32" s="237"/>
      <c r="C32" s="237"/>
      <c r="D32" s="237"/>
      <c r="E32" s="806"/>
      <c r="F32" s="812" t="s">
        <v>561</v>
      </c>
      <c r="G32" s="765"/>
      <c r="H32" s="2262"/>
      <c r="I32" s="2261"/>
      <c r="J32" s="2261"/>
      <c r="K32" s="2261"/>
    </row>
    <row r="33" spans="1:11" ht="1.5" customHeight="1" x14ac:dyDescent="0.2">
      <c r="A33" s="813" t="s">
        <v>1231</v>
      </c>
      <c r="B33" s="364"/>
      <c r="C33" s="364"/>
      <c r="D33" s="364"/>
      <c r="E33" s="364"/>
      <c r="F33" s="364"/>
      <c r="G33" s="814"/>
      <c r="H33" s="2262"/>
      <c r="I33" s="2261"/>
      <c r="J33" s="2261"/>
      <c r="K33" s="226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0" t="s">
        <v>562</v>
      </c>
      <c r="B41" s="2231"/>
      <c r="C41" s="2231"/>
      <c r="D41" s="2231"/>
      <c r="E41" s="2231"/>
      <c r="F41" s="2232"/>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7" colorId="8" zoomScale="110" zoomScaleNormal="110" workbookViewId="0">
      <selection activeCell="F17" sqref="F17"/>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2035</v>
      </c>
      <c r="B1" s="2270"/>
      <c r="C1" s="2271"/>
      <c r="D1" s="827"/>
      <c r="E1" s="828"/>
      <c r="F1" s="828"/>
      <c r="G1" s="829"/>
      <c r="H1" s="830"/>
      <c r="I1" s="831"/>
      <c r="J1" s="2267"/>
      <c r="K1" s="2268"/>
      <c r="L1" s="2268"/>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2">
        <f>(C5+D5)-E5</f>
        <v>0</v>
      </c>
      <c r="G5" s="838"/>
      <c r="H5" s="843"/>
      <c r="I5" s="843"/>
      <c r="J5" s="843"/>
      <c r="K5" s="794"/>
      <c r="L5" s="1791">
        <f>F5-K5</f>
        <v>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c r="D8" s="845"/>
      <c r="E8" s="845"/>
      <c r="F8" s="1782">
        <f>(C8+D8)-E8</f>
        <v>0</v>
      </c>
      <c r="G8" s="844">
        <v>50</v>
      </c>
      <c r="H8" s="766"/>
      <c r="I8" s="766"/>
      <c r="J8" s="766"/>
      <c r="K8" s="1791">
        <f>(H8+I8)-J8</f>
        <v>0</v>
      </c>
      <c r="L8" s="1791">
        <f>F8-K8</f>
        <v>0</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c r="D10" s="847"/>
      <c r="E10" s="847"/>
      <c r="F10" s="1786">
        <f>(C10+D10)-E10</f>
        <v>0</v>
      </c>
      <c r="G10" s="844">
        <v>20</v>
      </c>
      <c r="H10" s="848"/>
      <c r="I10" s="848"/>
      <c r="J10" s="848"/>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16279</v>
      </c>
      <c r="D12" s="845">
        <v>32400</v>
      </c>
      <c r="E12" s="845"/>
      <c r="F12" s="1782">
        <f>(C12+D12)-E12</f>
        <v>48679</v>
      </c>
      <c r="G12" s="844">
        <v>10</v>
      </c>
      <c r="H12" s="766">
        <v>814</v>
      </c>
      <c r="I12" s="766">
        <v>3248</v>
      </c>
      <c r="J12" s="766"/>
      <c r="K12" s="1791">
        <f>(H12+I12)-J12</f>
        <v>4062</v>
      </c>
      <c r="L12" s="1791">
        <f>F12-K12</f>
        <v>44617</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v>26979</v>
      </c>
      <c r="D14" s="766"/>
      <c r="E14" s="766"/>
      <c r="F14" s="1782">
        <f>(C14+D14)-E14</f>
        <v>26979</v>
      </c>
      <c r="G14" s="844">
        <v>3</v>
      </c>
      <c r="H14" s="766">
        <v>4496</v>
      </c>
      <c r="I14" s="766">
        <v>8993</v>
      </c>
      <c r="J14" s="766"/>
      <c r="K14" s="1791">
        <f>(H14+I14)-J14</f>
        <v>13489</v>
      </c>
      <c r="L14" s="1791">
        <f>F14-K14</f>
        <v>13490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43258</v>
      </c>
      <c r="D16" s="1782">
        <f>SUM(D3,D5:D6,D8:D10,D12:D15)</f>
        <v>32400</v>
      </c>
      <c r="E16" s="1782">
        <f>SUM(E3,E5:E6,E8:E10,E12:E15)</f>
        <v>0</v>
      </c>
      <c r="F16" s="1782">
        <f>SUM(F3,F5:F6,F8:F10,F12:F15)</f>
        <v>75658</v>
      </c>
      <c r="G16" s="844"/>
      <c r="H16" s="1782">
        <f>SUM(H3,H6,H8:H10,H12:H14,)</f>
        <v>5310</v>
      </c>
      <c r="I16" s="1782">
        <f>SUM(I3,I6,I8:I10,I12:I14,)</f>
        <v>12241</v>
      </c>
      <c r="J16" s="1782">
        <f>SUM(J3,J6,J8:J10,J12:J14,)</f>
        <v>0</v>
      </c>
      <c r="K16" s="1782">
        <f>(H16+I16)-J16</f>
        <v>17551</v>
      </c>
      <c r="L16" s="1782">
        <f>F16-K16</f>
        <v>58107</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6949</v>
      </c>
      <c r="G17" s="838">
        <v>10</v>
      </c>
      <c r="H17" s="770"/>
      <c r="I17" s="1791">
        <f>F17/G17</f>
        <v>694.9</v>
      </c>
      <c r="J17" s="770"/>
      <c r="K17" s="796"/>
      <c r="L17" s="796"/>
    </row>
    <row r="18" spans="1:12" ht="14.25" thickTop="1" thickBot="1" x14ac:dyDescent="0.25">
      <c r="A18" s="1789" t="s">
        <v>706</v>
      </c>
      <c r="B18" s="1790"/>
      <c r="C18" s="772"/>
      <c r="D18" s="772"/>
      <c r="E18" s="772"/>
      <c r="F18" s="851"/>
      <c r="G18" s="852"/>
      <c r="H18" s="774"/>
      <c r="I18" s="1782">
        <f>SUM(I16,I17)</f>
        <v>12935.9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1" activePane="bottomLeft" state="frozen"/>
      <selection activeCell="A47" sqref="A47"/>
      <selection pane="bottomLeft" activeCell="A187" sqref="A187"/>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5" t="s">
        <v>1699</v>
      </c>
      <c r="B1" s="2276"/>
      <c r="C1" s="2276"/>
      <c r="D1" s="2276"/>
      <c r="E1" s="2276"/>
      <c r="F1" s="2277"/>
      <c r="G1" s="856"/>
    </row>
    <row r="2" spans="1:7" ht="15" customHeight="1" thickBot="1" x14ac:dyDescent="0.25">
      <c r="A2" s="2278" t="s">
        <v>498</v>
      </c>
      <c r="B2" s="2279"/>
      <c r="C2" s="2279"/>
      <c r="D2" s="2279"/>
      <c r="E2" s="2279"/>
      <c r="F2" s="2280"/>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473987</v>
      </c>
      <c r="G8" s="866"/>
    </row>
    <row r="9" spans="1:7" x14ac:dyDescent="0.2">
      <c r="A9" s="870" t="s">
        <v>480</v>
      </c>
      <c r="B9" s="871" t="s">
        <v>1989</v>
      </c>
      <c r="C9" s="872"/>
      <c r="D9" s="870" t="s">
        <v>522</v>
      </c>
      <c r="E9" s="869"/>
      <c r="F9" s="1935">
        <f>'Expenditures 15-22'!K151</f>
        <v>0</v>
      </c>
      <c r="G9" s="873"/>
    </row>
    <row r="10" spans="1:7" x14ac:dyDescent="0.2">
      <c r="A10" s="870" t="s">
        <v>520</v>
      </c>
      <c r="B10" s="871" t="s">
        <v>1990</v>
      </c>
      <c r="C10" s="872"/>
      <c r="D10" s="870" t="s">
        <v>522</v>
      </c>
      <c r="E10" s="869"/>
      <c r="F10" s="1935">
        <f>'Expenditures 15-22'!K174</f>
        <v>0</v>
      </c>
      <c r="G10" s="873"/>
    </row>
    <row r="11" spans="1:7" x14ac:dyDescent="0.2">
      <c r="A11" s="870" t="s">
        <v>481</v>
      </c>
      <c r="B11" s="871" t="s">
        <v>1991</v>
      </c>
      <c r="C11" s="872"/>
      <c r="D11" s="870" t="s">
        <v>522</v>
      </c>
      <c r="E11" s="869"/>
      <c r="F11" s="1935">
        <f>'Expenditures 15-22'!K210</f>
        <v>0</v>
      </c>
      <c r="G11" s="873"/>
    </row>
    <row r="12" spans="1:7" x14ac:dyDescent="0.2">
      <c r="A12" s="870" t="s">
        <v>482</v>
      </c>
      <c r="B12" s="871" t="s">
        <v>1992</v>
      </c>
      <c r="C12" s="872"/>
      <c r="D12" s="870" t="s">
        <v>522</v>
      </c>
      <c r="E12" s="869"/>
      <c r="F12" s="1935">
        <f>'Expenditures 15-22'!K295</f>
        <v>0</v>
      </c>
      <c r="G12" s="873"/>
    </row>
    <row r="13" spans="1:7" x14ac:dyDescent="0.2">
      <c r="A13" s="870" t="s">
        <v>108</v>
      </c>
      <c r="B13" s="871" t="s">
        <v>1993</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473987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24456</v>
      </c>
      <c r="G53" s="866"/>
    </row>
    <row r="54" spans="1:7" x14ac:dyDescent="0.2">
      <c r="A54" s="870" t="s">
        <v>479</v>
      </c>
      <c r="B54" s="870" t="s">
        <v>1552</v>
      </c>
      <c r="C54" s="890" t="s">
        <v>1039</v>
      </c>
      <c r="D54" s="886" t="s">
        <v>1157</v>
      </c>
      <c r="E54" s="869"/>
      <c r="F54" s="1939">
        <f>'Expenditures 15-22'!G114</f>
        <v>32400</v>
      </c>
      <c r="G54" s="866"/>
    </row>
    <row r="55" spans="1:7" x14ac:dyDescent="0.2">
      <c r="A55" s="870" t="s">
        <v>479</v>
      </c>
      <c r="B55" s="870" t="s">
        <v>1553</v>
      </c>
      <c r="C55" s="890" t="s">
        <v>1039</v>
      </c>
      <c r="D55" s="886" t="s">
        <v>309</v>
      </c>
      <c r="E55" s="869"/>
      <c r="F55" s="1939">
        <f>'Expenditures 15-22'!I114</f>
        <v>6949</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0</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63805</v>
      </c>
      <c r="G76" s="866"/>
    </row>
    <row r="77" spans="1:8" s="894" customFormat="1" ht="12" customHeight="1" thickTop="1" thickBot="1" x14ac:dyDescent="0.25">
      <c r="A77" s="1801"/>
      <c r="B77" s="1798"/>
      <c r="C77" s="1794"/>
      <c r="D77" s="1799" t="s">
        <v>2012</v>
      </c>
      <c r="E77" s="1796"/>
      <c r="F77" s="1802">
        <f>(F14-F76)</f>
        <v>410182</v>
      </c>
      <c r="G77" s="870"/>
    </row>
    <row r="78" spans="1:8" s="894" customFormat="1" ht="12" customHeight="1" thickTop="1" x14ac:dyDescent="0.2">
      <c r="A78" s="1803"/>
      <c r="B78" s="1798"/>
      <c r="C78" s="1794"/>
      <c r="D78" s="1799" t="s">
        <v>2059</v>
      </c>
      <c r="E78" s="1796"/>
      <c r="F78" s="899">
        <v>0</v>
      </c>
      <c r="G78" s="900"/>
      <c r="H78" s="870"/>
    </row>
    <row r="79" spans="1:8" s="894" customFormat="1" ht="12" customHeight="1" thickBot="1" x14ac:dyDescent="0.25">
      <c r="A79" s="1804"/>
      <c r="B79" s="1798"/>
      <c r="C79" s="1794"/>
      <c r="D79" s="1799" t="s">
        <v>2013</v>
      </c>
      <c r="E79" s="1796" t="s">
        <v>1015</v>
      </c>
      <c r="F79" s="1805"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272" t="s">
        <v>1167</v>
      </c>
      <c r="B81" s="2273"/>
      <c r="C81" s="2273"/>
      <c r="D81" s="2273"/>
      <c r="E81" s="2273"/>
      <c r="F81" s="2274"/>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0</v>
      </c>
      <c r="G94" s="913"/>
    </row>
    <row r="95" spans="1:7" x14ac:dyDescent="0.2">
      <c r="A95" s="909" t="s">
        <v>142</v>
      </c>
      <c r="B95" s="909" t="s">
        <v>177</v>
      </c>
      <c r="C95" s="911">
        <v>1700</v>
      </c>
      <c r="D95" s="919" t="str">
        <f>'Revenues 9-14'!A82</f>
        <v>Total District/School Activity Income</v>
      </c>
      <c r="E95" s="907"/>
      <c r="F95" s="1811">
        <f>SUM('Revenues 9-14'!C82,'Revenues 9-14'!D82)</f>
        <v>0</v>
      </c>
      <c r="G95" s="913"/>
    </row>
    <row r="96" spans="1:7" x14ac:dyDescent="0.2">
      <c r="A96" s="909" t="s">
        <v>479</v>
      </c>
      <c r="B96" s="909" t="s">
        <v>178</v>
      </c>
      <c r="C96" s="911">
        <f>'Revenues 9-14'!B84</f>
        <v>1811</v>
      </c>
      <c r="D96" s="912" t="str">
        <f>'Revenues 9-14'!A84</f>
        <v>Rentals - Regular Textbooks</v>
      </c>
      <c r="E96" s="907"/>
      <c r="F96" s="1811">
        <f>'Revenues 9-14'!C84</f>
        <v>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142325</v>
      </c>
      <c r="G106" s="913"/>
    </row>
    <row r="107" spans="1:7" x14ac:dyDescent="0.2">
      <c r="A107" s="922" t="s">
        <v>685</v>
      </c>
      <c r="B107" s="909" t="s">
        <v>843</v>
      </c>
      <c r="C107" s="921">
        <v>3300</v>
      </c>
      <c r="D107" s="912" t="str">
        <f>'Revenues 9-14'!A144</f>
        <v>Total Bilingual Ed</v>
      </c>
      <c r="E107" s="907"/>
      <c r="F107" s="1811">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0</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60106</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202431</v>
      </c>
    </row>
    <row r="179" spans="1:7" ht="12" customHeight="1" x14ac:dyDescent="0.2">
      <c r="A179" s="1792"/>
      <c r="B179" s="1806"/>
      <c r="C179" s="1807"/>
      <c r="D179" s="1808" t="s">
        <v>2015</v>
      </c>
      <c r="E179" s="1809"/>
      <c r="F179" s="1811">
        <f>'PCTC-OEPP 27-28'!F77-F178</f>
        <v>207751</v>
      </c>
    </row>
    <row r="180" spans="1:7" ht="12" customHeight="1" x14ac:dyDescent="0.2">
      <c r="A180" s="1792"/>
      <c r="B180" s="1806"/>
      <c r="C180" s="1807"/>
      <c r="D180" s="1808" t="s">
        <v>1924</v>
      </c>
      <c r="E180" s="1809"/>
      <c r="F180" s="1811">
        <f>'Cap Outlay Deprec 26'!I18</f>
        <v>12935.9</v>
      </c>
    </row>
    <row r="181" spans="1:7" ht="12" customHeight="1" x14ac:dyDescent="0.2">
      <c r="A181" s="1792"/>
      <c r="B181" s="1806"/>
      <c r="C181" s="1807"/>
      <c r="D181" s="1808" t="s">
        <v>2016</v>
      </c>
      <c r="E181" s="1809"/>
      <c r="F181" s="1811">
        <f>F179+F180</f>
        <v>220686.9</v>
      </c>
    </row>
    <row r="182" spans="1:7" ht="12" customHeight="1" x14ac:dyDescent="0.2">
      <c r="A182" s="1792"/>
      <c r="B182" s="1812"/>
      <c r="C182" s="1807"/>
      <c r="D182" s="1808" t="str">
        <f>D78</f>
        <v>9 Month ADA from District Average Daily Attendance/Prior General State Aid Inquiry 2017-2018</v>
      </c>
      <c r="E182" s="1809"/>
      <c r="F182" s="1813">
        <f>'PCTC-OEPP 27-28'!F78</f>
        <v>0</v>
      </c>
      <c r="G182" s="931"/>
    </row>
    <row r="183" spans="1:7" ht="12" customHeight="1" thickBot="1" x14ac:dyDescent="0.25">
      <c r="A183" s="1792"/>
      <c r="B183" s="1812"/>
      <c r="C183" s="1807"/>
      <c r="D183" s="1808" t="s">
        <v>2017</v>
      </c>
      <c r="E183" s="1809" t="s">
        <v>1626</v>
      </c>
      <c r="F183" s="1814" t="e">
        <f>F181/F182</f>
        <v>#DIV/0!</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A17" sqref="A17"/>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6" t="s">
        <v>1926</v>
      </c>
      <c r="B6" s="1557"/>
      <c r="C6" s="1557"/>
      <c r="D6" s="1557"/>
      <c r="E6" s="1557"/>
      <c r="F6" s="1557"/>
      <c r="G6" s="1558"/>
    </row>
    <row r="7" spans="1:7" ht="30.75" customHeight="1" x14ac:dyDescent="0.25">
      <c r="A7" s="2292" t="s">
        <v>2075</v>
      </c>
      <c r="B7" s="2293"/>
      <c r="C7" s="2293"/>
      <c r="D7" s="2293"/>
      <c r="E7" s="2293"/>
      <c r="F7" s="2293"/>
      <c r="G7" s="2294"/>
    </row>
    <row r="8" spans="1:7" ht="15.75" customHeight="1" x14ac:dyDescent="0.25">
      <c r="A8" s="2295" t="s">
        <v>2024</v>
      </c>
      <c r="B8" s="2296"/>
      <c r="C8" s="2296"/>
      <c r="D8" s="2296"/>
      <c r="E8" s="2296"/>
      <c r="F8" s="2296"/>
      <c r="G8" s="2297"/>
    </row>
    <row r="9" spans="1:7" ht="35.25" customHeight="1" x14ac:dyDescent="0.25">
      <c r="A9" s="2292" t="s">
        <v>2023</v>
      </c>
      <c r="B9" s="2293"/>
      <c r="C9" s="2293"/>
      <c r="D9" s="2293"/>
      <c r="E9" s="2293"/>
      <c r="F9" s="2293"/>
      <c r="G9" s="2294"/>
    </row>
    <row r="10" spans="1:7" ht="15" customHeight="1" x14ac:dyDescent="0.25">
      <c r="A10" s="1559" t="s">
        <v>1927</v>
      </c>
      <c r="B10" s="1560"/>
      <c r="C10" s="1560"/>
      <c r="D10" s="1560"/>
      <c r="E10" s="1560"/>
      <c r="F10" s="1560"/>
      <c r="G10" s="1561"/>
    </row>
    <row r="11" spans="1:7" ht="17.25" customHeight="1" x14ac:dyDescent="0.25">
      <c r="A11" s="2292" t="s">
        <v>1941</v>
      </c>
      <c r="B11" s="2293"/>
      <c r="C11" s="2293"/>
      <c r="D11" s="2293"/>
      <c r="E11" s="2293"/>
      <c r="F11" s="2293"/>
      <c r="G11" s="2294"/>
    </row>
    <row r="12" spans="1:7" ht="15" customHeight="1" x14ac:dyDescent="0.25">
      <c r="A12" s="1559" t="s">
        <v>1932</v>
      </c>
      <c r="B12" s="1560"/>
      <c r="C12" s="1560"/>
      <c r="D12" s="1560"/>
      <c r="E12" s="1560"/>
      <c r="F12" s="1560"/>
      <c r="G12" s="1561"/>
    </row>
    <row r="13" spans="1:7" ht="32.25" customHeight="1" x14ac:dyDescent="0.25">
      <c r="A13" s="2283" t="s">
        <v>1933</v>
      </c>
      <c r="B13" s="2284"/>
      <c r="C13" s="2284"/>
      <c r="D13" s="2284"/>
      <c r="E13" s="2284"/>
      <c r="F13" s="2284"/>
      <c r="G13" s="2285"/>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2104</v>
      </c>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v>0</v>
      </c>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&amp;L&amp;8Page 29&amp;R&amp;8Page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2" colorId="8" zoomScale="110" zoomScaleNormal="110" workbookViewId="0">
      <selection activeCell="A10" sqref="A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8" t="s">
        <v>1778</v>
      </c>
      <c r="B5" s="2299"/>
      <c r="C5" s="2299"/>
      <c r="D5" s="2299"/>
      <c r="E5" s="2299"/>
      <c r="F5" s="2299"/>
      <c r="G5" s="2300"/>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c r="F10" s="975"/>
      <c r="G10" s="976"/>
      <c r="H10" s="162"/>
      <c r="I10" s="162"/>
    </row>
    <row r="11" spans="1:9" s="669" customFormat="1" ht="22.5" customHeight="1" x14ac:dyDescent="0.2">
      <c r="A11" s="2303" t="s">
        <v>1945</v>
      </c>
      <c r="B11" s="2304"/>
      <c r="C11" s="2304"/>
      <c r="D11" s="2305"/>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322005</v>
      </c>
      <c r="F19" s="1822"/>
      <c r="G19" s="1824">
        <f>'Expenditures 15-22'!K33-SUM('Expenditures 15-22'!G33,'Expenditures 15-22'!I33)+'Expenditures 15-22'!D229</f>
        <v>322005</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0</v>
      </c>
      <c r="F21" s="1825"/>
      <c r="G21" s="1828">
        <f>'Expenditures 15-22'!K42-SUM('Expenditures 15-22'!G42,'Expenditures 15-22'!I42)+'Expenditures 15-22'!K120-SUM('Expenditures 15-22'!G120,'Expenditures 15-22'!I120)+'Expenditures 15-22'!K180-SUM('Expenditures 15-22'!G180,'Expenditures 15-22'!I180)+'Expenditures 15-22'!D238</f>
        <v>0</v>
      </c>
      <c r="H21" s="988"/>
      <c r="I21" s="162"/>
    </row>
    <row r="22" spans="1:9" s="669" customFormat="1" ht="12" customHeight="1" x14ac:dyDescent="0.2">
      <c r="A22" s="995" t="s">
        <v>585</v>
      </c>
      <c r="B22" s="996"/>
      <c r="C22" s="994">
        <v>2200</v>
      </c>
      <c r="D22" s="1825"/>
      <c r="E22" s="1827">
        <f>'Expenditures 15-22'!K47-SUM('Expenditures 15-22'!G47,'Expenditures 15-22'!I47)+'Expenditures 15-22'!D243</f>
        <v>0</v>
      </c>
      <c r="F22" s="1825"/>
      <c r="G22" s="1828">
        <f>'Expenditures 15-22'!K47-SUM('Expenditures 15-22'!G47,'Expenditures 15-22'!I47)+'Expenditures 15-22'!D243</f>
        <v>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0</v>
      </c>
      <c r="F23" s="1825"/>
      <c r="G23" s="1827">
        <f>'Expenditures 15-22'!K53-SUM('Expenditures 15-22'!G53,'Expenditures 15-22'!I53)+'Expenditures 15-22'!D257+'Expenditures 15-22'!K330-SUM('Expenditures 15-22'!G330,'Expenditures 15-22'!I330)</f>
        <v>0</v>
      </c>
      <c r="H23" s="988"/>
      <c r="I23" s="162"/>
    </row>
    <row r="24" spans="1:9" s="669" customFormat="1" ht="12" customHeight="1" x14ac:dyDescent="0.2">
      <c r="A24" s="995" t="s">
        <v>587</v>
      </c>
      <c r="B24" s="996"/>
      <c r="C24" s="994">
        <v>2400</v>
      </c>
      <c r="D24" s="1825"/>
      <c r="E24" s="1827">
        <f>'Expenditures 15-22'!K57-SUM('Expenditures 15-22'!G57,'Expenditures 15-22'!I57)+'Expenditures 15-22'!D261</f>
        <v>47891</v>
      </c>
      <c r="F24" s="1825"/>
      <c r="G24" s="1828">
        <f>'Expenditures 15-22'!K57-SUM('Expenditures 15-22'!G57,'Expenditures 15-22'!I57)+'Expenditures 15-22'!D261</f>
        <v>47891</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3900</v>
      </c>
      <c r="E27" s="1827">
        <f>E8</f>
        <v>0</v>
      </c>
      <c r="F27" s="1827">
        <f>'Expenditures 15-22'!K60-SUM('Expenditures 15-22'!G60,'Expenditures 15-22'!I60)+'Expenditures 15-22'!D264-E8</f>
        <v>3900</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35950</v>
      </c>
      <c r="F28" s="1829">
        <f>'Expenditures 15-22'!K61-SUM('Expenditures 15-22'!G61,'Expenditures 15-22'!I61)+'Expenditures 15-22'!K124-SUM('Expenditures 15-22'!G124,'Expenditures 15-22'!I124)+'Expenditures 15-22'!D266-E9</f>
        <v>35950</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0</v>
      </c>
      <c r="F29" s="1825"/>
      <c r="G29" s="1828">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25"/>
      <c r="E30" s="1827">
        <f>'Expenditures 15-22'!K63-SUM('Expenditures 15-22'!G63,'Expenditures 15-22'!I63)+'Expenditures 15-22'!D268-E10</f>
        <v>0</v>
      </c>
      <c r="F30" s="1825"/>
      <c r="G30" s="1827">
        <f>'Expenditures 15-22'!K63-SUM('Expenditures 15-22'!G63,'Expenditures 15-22'!I63)+'Expenditures 15-22'!D268-E10</f>
        <v>0</v>
      </c>
    </row>
    <row r="31" spans="1:9" ht="12" customHeight="1" x14ac:dyDescent="0.2">
      <c r="A31" s="995" t="s">
        <v>103</v>
      </c>
      <c r="B31" s="998"/>
      <c r="C31" s="994">
        <v>2570</v>
      </c>
      <c r="D31" s="1827">
        <f>'Expenditures 15-22'!K64-SUM('Expenditures 15-22'!G64,'Expenditures 15-22'!I64)+'Expenditures 15-22'!D269-E12</f>
        <v>436</v>
      </c>
      <c r="E31" s="1827">
        <f>E12</f>
        <v>0</v>
      </c>
      <c r="F31" s="1827">
        <f>'Expenditures 15-22'!K64-SUM('Expenditures 15-22'!G64,'Expenditures 15-22'!I64)+'Expenditures 15-22'!D269-E12</f>
        <v>436</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4336</v>
      </c>
      <c r="E41" s="1829">
        <f>SUM(E19:E40)</f>
        <v>405846</v>
      </c>
      <c r="F41" s="1829">
        <f>SUM(F19:F39)</f>
        <v>40286</v>
      </c>
      <c r="G41" s="1829">
        <f>SUM(G19:G40)</f>
        <v>369896</v>
      </c>
    </row>
    <row r="42" spans="1:7" x14ac:dyDescent="0.2">
      <c r="A42" s="988"/>
      <c r="B42" s="162"/>
      <c r="C42" s="1002"/>
      <c r="D42" s="2301" t="s">
        <v>543</v>
      </c>
      <c r="E42" s="2302"/>
      <c r="F42" s="1003" t="s">
        <v>544</v>
      </c>
      <c r="G42" s="1004"/>
    </row>
    <row r="43" spans="1:7" ht="12" customHeight="1" x14ac:dyDescent="0.2">
      <c r="A43" s="988"/>
      <c r="B43" s="162"/>
      <c r="C43" s="1002"/>
      <c r="D43" s="1830" t="s">
        <v>493</v>
      </c>
      <c r="E43" s="1831">
        <f>D41</f>
        <v>4336</v>
      </c>
      <c r="F43" s="1830" t="s">
        <v>495</v>
      </c>
      <c r="G43" s="1831">
        <f>F41</f>
        <v>40286</v>
      </c>
    </row>
    <row r="44" spans="1:7" ht="12" customHeight="1" x14ac:dyDescent="0.2">
      <c r="A44" s="988"/>
      <c r="B44" s="162"/>
      <c r="C44" s="1002"/>
      <c r="D44" s="1830" t="s">
        <v>494</v>
      </c>
      <c r="E44" s="1831">
        <f>E41</f>
        <v>405846</v>
      </c>
      <c r="F44" s="1830" t="s">
        <v>494</v>
      </c>
      <c r="G44" s="1831">
        <f>G41</f>
        <v>369896</v>
      </c>
    </row>
    <row r="45" spans="1:7" ht="12" customHeight="1" x14ac:dyDescent="0.2">
      <c r="A45" s="988"/>
      <c r="B45" s="162"/>
      <c r="C45" s="162"/>
      <c r="D45" s="1832" t="s">
        <v>1063</v>
      </c>
      <c r="E45" s="1833">
        <f>(E43/E44)</f>
        <v>1.0683855452560823E-2</v>
      </c>
      <c r="F45" s="1832" t="s">
        <v>1063</v>
      </c>
      <c r="G45" s="1833">
        <f>(G43/G44)</f>
        <v>0.10891169409780047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43" sqref="A43:F43"/>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09" t="s">
        <v>1446</v>
      </c>
      <c r="B1" s="2309"/>
      <c r="C1" s="2309"/>
      <c r="D1" s="2309"/>
      <c r="E1" s="2309"/>
      <c r="F1" s="2309"/>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10" t="s">
        <v>1627</v>
      </c>
      <c r="B5" s="2311"/>
      <c r="C5" s="2312"/>
      <c r="D5" s="2312"/>
      <c r="E5" s="2312"/>
      <c r="F5" s="2312"/>
    </row>
    <row r="6" spans="1:10" ht="12" customHeight="1" x14ac:dyDescent="0.25">
      <c r="A6" s="1875"/>
      <c r="B6" s="1876"/>
      <c r="C6" s="2313" t="str">
        <f>COVER!A17</f>
        <v>Galesburg Area Vocational Center</v>
      </c>
      <c r="D6" s="2313"/>
      <c r="E6" s="2313"/>
      <c r="F6" s="1877"/>
    </row>
    <row r="7" spans="1:10" ht="11.25" customHeight="1" thickBot="1" x14ac:dyDescent="0.3">
      <c r="A7" s="1875"/>
      <c r="B7" s="1876"/>
      <c r="C7" s="2314">
        <f>COVER!A13</f>
        <v>33048205041</v>
      </c>
      <c r="D7" s="2314"/>
      <c r="E7" s="2314"/>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t="s">
        <v>2095</v>
      </c>
      <c r="D25" s="1890" t="s">
        <v>2095</v>
      </c>
      <c r="E25" s="1893"/>
      <c r="F25" s="1892" t="s">
        <v>2097</v>
      </c>
      <c r="H25" s="1903">
        <f t="shared" si="0"/>
        <v>5</v>
      </c>
      <c r="I25" s="1903">
        <f t="shared" si="1"/>
        <v>5</v>
      </c>
      <c r="J25" s="1903">
        <f t="shared" si="2"/>
        <v>0</v>
      </c>
    </row>
    <row r="26" spans="1:12" ht="12" customHeight="1" x14ac:dyDescent="0.2">
      <c r="A26" s="1888" t="s">
        <v>1615</v>
      </c>
      <c r="B26" s="1889"/>
      <c r="C26" s="1890"/>
      <c r="D26" s="1890"/>
      <c r="E26" s="1893"/>
      <c r="F26" s="1892"/>
      <c r="H26" s="1903">
        <f t="shared" si="0"/>
        <v>0</v>
      </c>
      <c r="I26" s="1903">
        <f t="shared" si="1"/>
        <v>0</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t="s">
        <v>2095</v>
      </c>
      <c r="D31" s="1890" t="s">
        <v>2095</v>
      </c>
      <c r="E31" s="1893"/>
      <c r="F31" s="1892" t="s">
        <v>2098</v>
      </c>
      <c r="H31" s="1903">
        <f t="shared" si="0"/>
        <v>5</v>
      </c>
      <c r="I31" s="1903">
        <f t="shared" si="1"/>
        <v>5</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10</v>
      </c>
      <c r="I34" s="1903">
        <f>SUM(I11:I32)</f>
        <v>10</v>
      </c>
      <c r="J34" s="1903">
        <f>SUM(J11:J32)</f>
        <v>0</v>
      </c>
      <c r="K34" s="1903">
        <f>SUM(H34:J34)</f>
        <v>20</v>
      </c>
    </row>
    <row r="35" spans="1:11" ht="12" customHeight="1" x14ac:dyDescent="0.2">
      <c r="A35" s="1896" t="s">
        <v>1459</v>
      </c>
      <c r="B35" s="1897"/>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98"/>
      <c r="B39" s="1898"/>
      <c r="C39" s="1898"/>
      <c r="D39" s="1898"/>
      <c r="E39" s="1898"/>
      <c r="F39" s="1898"/>
    </row>
    <row r="40" spans="1:11" s="1895" customFormat="1" ht="12" customHeight="1" x14ac:dyDescent="0.25">
      <c r="A40" s="1899" t="s">
        <v>1458</v>
      </c>
      <c r="B40" s="1900"/>
      <c r="C40" s="2323"/>
      <c r="D40" s="2323"/>
      <c r="E40" s="2323"/>
      <c r="F40" s="2324"/>
      <c r="H40" s="1904"/>
      <c r="I40" s="1904"/>
      <c r="J40" s="1904"/>
      <c r="K40" s="1904"/>
    </row>
    <row r="41" spans="1:11" s="1895" customFormat="1" ht="12" customHeight="1" x14ac:dyDescent="0.25">
      <c r="A41" s="2325" t="s">
        <v>2099</v>
      </c>
      <c r="B41" s="2326"/>
      <c r="C41" s="2326"/>
      <c r="D41" s="2326"/>
      <c r="E41" s="2326"/>
      <c r="F41" s="2327"/>
      <c r="H41" s="1904"/>
      <c r="I41" s="1904"/>
      <c r="J41" s="1904"/>
      <c r="K41" s="1904"/>
    </row>
    <row r="42" spans="1:11" s="1895" customFormat="1" ht="12" customHeight="1" x14ac:dyDescent="0.25">
      <c r="A42" s="2325" t="s">
        <v>2100</v>
      </c>
      <c r="B42" s="2326"/>
      <c r="C42" s="2326"/>
      <c r="D42" s="2326"/>
      <c r="E42" s="2326"/>
      <c r="F42" s="2327"/>
      <c r="H42" s="1904"/>
      <c r="I42" s="1904"/>
      <c r="J42" s="1904"/>
      <c r="K42" s="1904"/>
    </row>
    <row r="43" spans="1:11" s="1895" customFormat="1" ht="15" x14ac:dyDescent="0.25">
      <c r="A43" s="2317" t="s">
        <v>2101</v>
      </c>
      <c r="B43" s="2318"/>
      <c r="C43" s="2318"/>
      <c r="D43" s="2318"/>
      <c r="E43" s="2318"/>
      <c r="F43" s="2319"/>
      <c r="H43" s="1904"/>
      <c r="I43" s="1904"/>
      <c r="J43" s="1904"/>
      <c r="K43" s="1904"/>
    </row>
    <row r="44" spans="1:11" s="1895" customFormat="1" ht="12" hidden="1" customHeight="1" x14ac:dyDescent="0.25">
      <c r="A44" s="2317"/>
      <c r="B44" s="2318"/>
      <c r="C44" s="2318"/>
      <c r="D44" s="2318"/>
      <c r="E44" s="2318"/>
      <c r="F44" s="2319"/>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Header>&amp;L&amp;8Page 31&amp;R&amp;8Page 31</oddHead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E16" sqref="E1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3" t="str">
        <f>COVER!A17</f>
        <v>Galesburg Area Vocational Center</v>
      </c>
      <c r="J6" s="2334"/>
      <c r="Q6" s="1686"/>
    </row>
    <row r="7" spans="1:17" x14ac:dyDescent="0.2">
      <c r="A7" s="2335" t="s">
        <v>924</v>
      </c>
      <c r="B7" s="2336"/>
      <c r="C7" s="2336"/>
      <c r="D7" s="2336"/>
      <c r="E7" s="2337"/>
      <c r="F7" s="1018"/>
      <c r="G7" s="1010"/>
      <c r="H7" s="1017" t="s">
        <v>390</v>
      </c>
      <c r="I7" s="2338">
        <f>COVER!A13</f>
        <v>33048205041</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0</v>
      </c>
      <c r="F12" s="1040"/>
      <c r="G12" s="1834">
        <f t="shared" ref="G12:G18" si="0">SUM(E12:F12)</f>
        <v>0</v>
      </c>
      <c r="H12" s="1041"/>
      <c r="I12" s="1040"/>
      <c r="J12" s="1834">
        <f t="shared" ref="J12:J18" si="1">SUM(H12:I12)</f>
        <v>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436</v>
      </c>
      <c r="F16" s="1040"/>
      <c r="G16" s="1834">
        <f t="shared" si="0"/>
        <v>436</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2" t="s">
        <v>7</v>
      </c>
      <c r="C18" s="2343"/>
      <c r="D18" s="2344"/>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436</v>
      </c>
      <c r="F19" s="1836">
        <f t="shared" si="2"/>
        <v>0</v>
      </c>
      <c r="G19" s="1836">
        <f t="shared" si="2"/>
        <v>436</v>
      </c>
      <c r="H19" s="1836">
        <f t="shared" si="2"/>
        <v>0</v>
      </c>
      <c r="I19" s="1836">
        <f t="shared" si="2"/>
        <v>0</v>
      </c>
      <c r="J19" s="1836">
        <f t="shared" si="2"/>
        <v>0</v>
      </c>
    </row>
    <row r="20" spans="1:10" ht="13.5" thickTop="1" x14ac:dyDescent="0.2">
      <c r="A20" s="1036">
        <v>9</v>
      </c>
      <c r="B20" s="2345" t="s">
        <v>1703</v>
      </c>
      <c r="C20" s="2345"/>
      <c r="D20" s="2346"/>
      <c r="E20" s="1047"/>
      <c r="F20" s="1047"/>
      <c r="G20" s="1047"/>
      <c r="H20" s="1047"/>
      <c r="I20" s="1047"/>
      <c r="J20" s="1837"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1"/>
      <c r="D26" s="2351"/>
      <c r="E26" s="1051"/>
      <c r="F26" s="2350"/>
      <c r="G26" s="2350"/>
    </row>
    <row r="27" spans="1:10" x14ac:dyDescent="0.2">
      <c r="B27" s="1048"/>
      <c r="C27" s="1052" t="s">
        <v>1093</v>
      </c>
      <c r="D27" s="1053"/>
      <c r="E27" s="1054"/>
      <c r="F27" s="2347" t="s">
        <v>1589</v>
      </c>
      <c r="G27" s="2347"/>
    </row>
    <row r="28" spans="1:10" ht="28.5" customHeight="1" x14ac:dyDescent="0.2">
      <c r="B28" s="1048"/>
      <c r="C28" s="2349"/>
      <c r="D28" s="2349"/>
      <c r="E28" s="1055"/>
      <c r="F28" s="2349"/>
      <c r="G28" s="2349"/>
    </row>
    <row r="29" spans="1:10" x14ac:dyDescent="0.2">
      <c r="B29" s="1048"/>
      <c r="C29" s="1056" t="s">
        <v>1642</v>
      </c>
      <c r="E29" s="1057"/>
      <c r="F29" s="2348" t="s">
        <v>1590</v>
      </c>
      <c r="G29" s="2348"/>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3"/>
    </row>
    <row r="36" spans="1:10" ht="13.5" customHeight="1" x14ac:dyDescent="0.2">
      <c r="B36" s="1062"/>
      <c r="C36" s="2332" t="s">
        <v>1944</v>
      </c>
      <c r="D36" s="2331"/>
      <c r="E36" s="2331"/>
      <c r="F36" s="2331"/>
      <c r="G36" s="2331"/>
      <c r="H36" s="2331"/>
      <c r="I36" s="2331"/>
      <c r="J36" s="1064"/>
    </row>
    <row r="37" spans="1:10" ht="22.5" customHeight="1" x14ac:dyDescent="0.2">
      <c r="C37" s="2331"/>
      <c r="D37" s="2331"/>
      <c r="E37" s="2331"/>
      <c r="F37" s="2331"/>
      <c r="G37" s="2331"/>
      <c r="H37" s="2331"/>
      <c r="I37" s="2331"/>
      <c r="J37" s="1064"/>
    </row>
    <row r="38" spans="1:10" ht="7.5" customHeight="1" x14ac:dyDescent="0.2">
      <c r="C38" s="1063"/>
      <c r="D38" s="1065"/>
      <c r="E38" s="1066"/>
      <c r="F38" s="1067"/>
      <c r="G38" s="1066"/>
    </row>
    <row r="39" spans="1:10" ht="13.5" customHeight="1" x14ac:dyDescent="0.2">
      <c r="B39" s="1062"/>
      <c r="C39" s="2328" t="s">
        <v>937</v>
      </c>
      <c r="D39" s="2329"/>
      <c r="E39" s="2329"/>
      <c r="F39" s="2329"/>
      <c r="G39" s="2329"/>
      <c r="H39" s="2329"/>
      <c r="I39" s="2329"/>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6" sqref="B6"/>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2102</v>
      </c>
    </row>
    <row r="6" spans="1:2" x14ac:dyDescent="0.2">
      <c r="A6" s="1069">
        <v>2</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Galesburg Area Vocational Center</v>
      </c>
    </row>
    <row r="65" spans="2:2" x14ac:dyDescent="0.2">
      <c r="B65" s="1071">
        <f>COVER!A13</f>
        <v>33048205041</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topLeftCell="A4"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2" t="s">
        <v>1784</v>
      </c>
      <c r="B18" s="235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5"/>
      <c r="H2" s="1075"/>
    </row>
    <row r="3" spans="1:8" ht="57" customHeight="1" x14ac:dyDescent="0.2">
      <c r="A3" s="2366" t="s">
        <v>1786</v>
      </c>
      <c r="B3" s="2367"/>
      <c r="C3" s="2367"/>
      <c r="D3" s="2367"/>
      <c r="E3" s="2367"/>
      <c r="F3" s="2368"/>
      <c r="G3" s="1075"/>
      <c r="H3" s="1075"/>
    </row>
    <row r="4" spans="1:8" ht="14.25" customHeight="1" x14ac:dyDescent="0.2">
      <c r="A4" s="2372" t="s">
        <v>2056</v>
      </c>
      <c r="B4" s="2373"/>
      <c r="C4" s="2373"/>
      <c r="D4" s="2373"/>
      <c r="E4" s="2373"/>
      <c r="F4" s="2374"/>
      <c r="G4" s="1075"/>
      <c r="H4" s="1075"/>
    </row>
    <row r="5" spans="1:8" ht="14.25" customHeight="1" x14ac:dyDescent="0.2">
      <c r="A5" s="2375" t="s">
        <v>2057</v>
      </c>
      <c r="B5" s="2376"/>
      <c r="C5" s="2376"/>
      <c r="D5" s="2376"/>
      <c r="E5" s="2376"/>
      <c r="F5" s="2377"/>
      <c r="G5" s="1075"/>
      <c r="H5" s="1075"/>
    </row>
    <row r="6" spans="1:8" s="1076" customFormat="1" ht="41.25" customHeight="1" x14ac:dyDescent="0.2">
      <c r="A6" s="2369" t="s">
        <v>1792</v>
      </c>
      <c r="B6" s="2370"/>
      <c r="C6" s="2370"/>
      <c r="D6" s="2370"/>
      <c r="E6" s="2370"/>
      <c r="F6" s="2371"/>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575963</v>
      </c>
      <c r="C8" s="1838">
        <f>'Acct Summary 7-8'!D8</f>
        <v>0</v>
      </c>
      <c r="D8" s="1838">
        <f>'Acct Summary 7-8'!F8</f>
        <v>0</v>
      </c>
      <c r="E8" s="1838">
        <f>'Acct Summary 7-8'!I8</f>
        <v>0</v>
      </c>
      <c r="F8" s="1838">
        <f>SUM(B8:E8)</f>
        <v>575963</v>
      </c>
    </row>
    <row r="9" spans="1:8" s="1080" customFormat="1" ht="14.25" customHeight="1" thickBot="1" x14ac:dyDescent="0.25">
      <c r="A9" s="1079" t="s">
        <v>1436</v>
      </c>
      <c r="B9" s="1839">
        <f>'Acct Summary 7-8'!C17</f>
        <v>473987</v>
      </c>
      <c r="C9" s="1839">
        <f>'Acct Summary 7-8'!D17</f>
        <v>0</v>
      </c>
      <c r="D9" s="1839">
        <f>'Acct Summary 7-8'!F17</f>
        <v>0</v>
      </c>
      <c r="E9" s="1838"/>
      <c r="F9" s="1838">
        <f>SUM(B9:E9)</f>
        <v>473987</v>
      </c>
    </row>
    <row r="10" spans="1:8" s="1080" customFormat="1" ht="14.25" thickTop="1" thickBot="1" x14ac:dyDescent="0.25">
      <c r="A10" s="1081" t="s">
        <v>1437</v>
      </c>
      <c r="B10" s="1840">
        <f>(B8-B9)</f>
        <v>101976</v>
      </c>
      <c r="C10" s="1840">
        <f>(C8-C9)</f>
        <v>0</v>
      </c>
      <c r="D10" s="1840">
        <f>(D8-D9)</f>
        <v>0</v>
      </c>
      <c r="E10" s="1839">
        <f>(E8-E9)</f>
        <v>0</v>
      </c>
      <c r="F10" s="1841">
        <f>SUM(F8-F9)</f>
        <v>101976</v>
      </c>
    </row>
    <row r="11" spans="1:8" s="1080" customFormat="1" ht="14.25" thickTop="1" thickBot="1" x14ac:dyDescent="0.25">
      <c r="A11" s="1082" t="s">
        <v>1785</v>
      </c>
      <c r="B11" s="1842">
        <f>'Acct Summary 7-8'!C81</f>
        <v>244508</v>
      </c>
      <c r="C11" s="1842">
        <f>'Acct Summary 7-8'!D81</f>
        <v>0</v>
      </c>
      <c r="D11" s="1842">
        <f>'Acct Summary 7-8'!F81</f>
        <v>0</v>
      </c>
      <c r="E11" s="1842">
        <f>'Acct Summary 7-8'!I81</f>
        <v>0</v>
      </c>
      <c r="F11" s="1843">
        <f>SUM(B11:E11)</f>
        <v>244508</v>
      </c>
    </row>
    <row r="12" spans="1:8" ht="16.5" customHeight="1" thickTop="1" x14ac:dyDescent="0.2">
      <c r="A12" s="1083"/>
      <c r="B12" s="1084"/>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5"/>
      <c r="B13" s="1086"/>
      <c r="C13" s="2357"/>
      <c r="D13" s="2358"/>
      <c r="E13" s="2358"/>
      <c r="F13" s="2359"/>
      <c r="H13" s="1075"/>
    </row>
    <row r="14" spans="1:8" ht="19.5" customHeight="1" x14ac:dyDescent="0.2">
      <c r="A14" s="1085"/>
      <c r="B14" s="1086"/>
      <c r="C14" s="2357"/>
      <c r="D14" s="2358"/>
      <c r="E14" s="2358"/>
      <c r="F14" s="2359"/>
      <c r="H14" s="1075"/>
    </row>
    <row r="15" spans="1:8" ht="17.25" customHeight="1" x14ac:dyDescent="0.2">
      <c r="A15" s="1085"/>
      <c r="B15" s="1086"/>
      <c r="C15" s="2360"/>
      <c r="D15" s="2361"/>
      <c r="E15" s="2361"/>
      <c r="F15" s="2362"/>
      <c r="H15" s="1075"/>
    </row>
    <row r="16" spans="1:8" s="310" customFormat="1" ht="51.75" hidden="1" customHeight="1" x14ac:dyDescent="0.2">
      <c r="A16" s="2356" t="s">
        <v>1787</v>
      </c>
      <c r="B16" s="2356"/>
      <c r="C16" s="2356"/>
      <c r="D16" s="2356"/>
      <c r="E16" s="2356"/>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7" colorId="8" zoomScale="110" zoomScaleNormal="110" workbookViewId="0">
      <selection activeCell="D24" sqref="D24"/>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8" t="s">
        <v>686</v>
      </c>
      <c r="B3" s="2379"/>
      <c r="C3" s="2379"/>
      <c r="D3" s="2380"/>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9" t="s">
        <v>1584</v>
      </c>
      <c r="D7" s="2390"/>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1" t="s">
        <v>1065</v>
      </c>
      <c r="B15" s="2382"/>
      <c r="C15" s="2382"/>
      <c r="D15" s="2383"/>
    </row>
    <row r="16" spans="1:4" s="669" customFormat="1" ht="24" customHeight="1" x14ac:dyDescent="0.2">
      <c r="A16" s="2384" t="s">
        <v>684</v>
      </c>
      <c r="B16" s="2385"/>
      <c r="C16" s="2385"/>
      <c r="D16" s="2386"/>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3" t="s">
        <v>332</v>
      </c>
      <c r="D21" s="2394"/>
    </row>
    <row r="22" spans="1:10" ht="12.75" x14ac:dyDescent="0.2">
      <c r="A22" s="1140"/>
      <c r="B22" s="1141">
        <v>2</v>
      </c>
      <c r="C22" s="2391" t="s">
        <v>1605</v>
      </c>
      <c r="D22" s="2392"/>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ENTER ACCOUNTING INFO</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5" t="s">
        <v>557</v>
      </c>
      <c r="D43" s="2396"/>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7" t="s">
        <v>817</v>
      </c>
      <c r="D56" s="2388"/>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7" t="s">
        <v>1797</v>
      </c>
      <c r="D70" s="2388"/>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33048205041</v>
      </c>
    </row>
    <row r="3" spans="1:2" x14ac:dyDescent="0.2">
      <c r="A3" t="s">
        <v>1013</v>
      </c>
      <c r="B3" s="138" t="str">
        <f>COVER!A15</f>
        <v>Knox and Warren</v>
      </c>
    </row>
    <row r="4" spans="1:2" x14ac:dyDescent="0.2">
      <c r="A4" t="s">
        <v>1064</v>
      </c>
      <c r="B4" s="138" t="str">
        <f>COVER!A17</f>
        <v>Galesburg Area Vocational Center</v>
      </c>
    </row>
    <row r="5" spans="1:2" x14ac:dyDescent="0.2">
      <c r="A5" t="s">
        <v>728</v>
      </c>
      <c r="B5" s="138" t="str">
        <f>COVER!A38</f>
        <v>Dr.  John Asplund</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066-004769</v>
      </c>
    </row>
    <row r="16" spans="1:2" x14ac:dyDescent="0.2">
      <c r="A16" t="s">
        <v>442</v>
      </c>
      <c r="B16" s="138" t="str">
        <f>COVER!T13</f>
        <v>Meister, Hilton, Chitwood &amp;  Associates, Inc.</v>
      </c>
    </row>
    <row r="17" spans="1:2" x14ac:dyDescent="0.2">
      <c r="A17" t="s">
        <v>939</v>
      </c>
      <c r="B17" s="138" t="str">
        <f>COVER!T15</f>
        <v>Ron Hilton</v>
      </c>
    </row>
    <row r="18" spans="1:2" x14ac:dyDescent="0.2">
      <c r="A18" t="s">
        <v>1212</v>
      </c>
      <c r="B18" s="138" t="str">
        <f>COVER!T17</f>
        <v>809 W.  Detweiller Drive, Suite 804</v>
      </c>
    </row>
    <row r="19" spans="1:2" x14ac:dyDescent="0.2">
      <c r="A19" t="s">
        <v>941</v>
      </c>
      <c r="B19" s="138" t="str">
        <f>COVER!T25</f>
        <v>ron.hilton1@comcast.net</v>
      </c>
    </row>
    <row r="20" spans="1:2" x14ac:dyDescent="0.2">
      <c r="A20" t="s">
        <v>942</v>
      </c>
      <c r="B20" s="138" t="str">
        <f>COVER!T19</f>
        <v>Peoria</v>
      </c>
    </row>
    <row r="21" spans="1:2" x14ac:dyDescent="0.2">
      <c r="A21" t="s">
        <v>500</v>
      </c>
      <c r="B21" s="138" t="str">
        <f>COVER!X19</f>
        <v>IL</v>
      </c>
    </row>
    <row r="22" spans="1:2" x14ac:dyDescent="0.2">
      <c r="A22" t="s">
        <v>943</v>
      </c>
      <c r="B22" s="138">
        <f>COVER!Z19</f>
        <v>61615</v>
      </c>
    </row>
    <row r="23" spans="1:2" x14ac:dyDescent="0.2">
      <c r="A23" t="s">
        <v>1214</v>
      </c>
      <c r="B23" s="138" t="str">
        <f>COVER!T21</f>
        <v>(309) 683-0441</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272057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27549</v>
      </c>
      <c r="C91" s="2" t="s">
        <v>594</v>
      </c>
      <c r="D91" s="2" t="str">
        <f t="shared" si="0"/>
        <v>Error?</v>
      </c>
    </row>
    <row r="92" spans="1:4" x14ac:dyDescent="0.2">
      <c r="A92" s="5">
        <v>31</v>
      </c>
      <c r="B92" s="138">
        <f>'Assets-Liab 5-6'!C39</f>
        <v>244508</v>
      </c>
      <c r="D92" s="2" t="str">
        <f t="shared" si="0"/>
        <v>Error?</v>
      </c>
    </row>
    <row r="93" spans="1:4" x14ac:dyDescent="0.2">
      <c r="A93" s="5">
        <v>32</v>
      </c>
      <c r="B93" s="138">
        <f>'Assets-Liab 5-6'!C41</f>
        <v>272057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75658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75658</v>
      </c>
      <c r="C279" s="2" t="s">
        <v>594</v>
      </c>
      <c r="D279" s="2" t="str">
        <f t="shared" si="3"/>
        <v>Error?</v>
      </c>
    </row>
    <row r="280" spans="1:4" x14ac:dyDescent="0.2">
      <c r="A280" s="5">
        <v>219</v>
      </c>
      <c r="B280" s="138">
        <f>'Assets-Liab 5-6'!M40</f>
        <v>75658</v>
      </c>
      <c r="D280" s="2" t="str">
        <f t="shared" si="3"/>
        <v>Error?</v>
      </c>
    </row>
    <row r="281" spans="1:4" x14ac:dyDescent="0.2">
      <c r="A281" s="5">
        <v>220</v>
      </c>
      <c r="B281" s="138">
        <f>'Assets-Liab 5-6'!M41</f>
        <v>75658</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230272</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230272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594</v>
      </c>
      <c r="D734" s="2" t="str">
        <f t="shared" si="10"/>
        <v>Error?</v>
      </c>
    </row>
    <row r="735" spans="1:4" x14ac:dyDescent="0.2">
      <c r="A735" s="5">
        <v>674</v>
      </c>
      <c r="B735" s="138">
        <f>'Expenditures 15-22'!C55</f>
        <v>35489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35489</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35489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265761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22630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22630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594</v>
      </c>
      <c r="D792" s="2" t="str">
        <f t="shared" si="11"/>
        <v>Error?</v>
      </c>
    </row>
    <row r="793" spans="1:4" x14ac:dyDescent="0.2">
      <c r="A793" s="5">
        <v>732</v>
      </c>
      <c r="B793" s="138">
        <f>'Expenditures 15-22'!D55</f>
        <v>11834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11834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11834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34464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4768</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4768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0</v>
      </c>
      <c r="C850" s="2" t="s">
        <v>594</v>
      </c>
      <c r="D850" s="2" t="str">
        <f t="shared" si="12"/>
        <v>Error?</v>
      </c>
    </row>
    <row r="851" spans="1:4" x14ac:dyDescent="0.2">
      <c r="A851" s="5">
        <v>790</v>
      </c>
      <c r="B851" s="138">
        <f>'Expenditures 15-22'!E55</f>
        <v>164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164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3900</v>
      </c>
      <c r="D855" s="2" t="str">
        <f t="shared" si="12"/>
        <v>Error?</v>
      </c>
    </row>
    <row r="856" spans="1:4" x14ac:dyDescent="0.2">
      <c r="A856" s="5">
        <v>795</v>
      </c>
      <c r="B856" s="138">
        <f>'Expenditures 15-22'!E61</f>
        <v>35950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436</v>
      </c>
      <c r="D859" s="2" t="str">
        <f t="shared" si="12"/>
        <v>Error?</v>
      </c>
    </row>
    <row r="860" spans="1:4" x14ac:dyDescent="0.2">
      <c r="A860" s="10">
        <v>799</v>
      </c>
      <c r="D860" s="2" t="str">
        <f t="shared" si="12"/>
        <v>OK</v>
      </c>
    </row>
    <row r="861" spans="1:4" x14ac:dyDescent="0.2">
      <c r="A861" s="5">
        <v>800</v>
      </c>
      <c r="B861" s="138">
        <f>'Expenditures 15-22'!E65</f>
        <v>40286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40450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45218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64335</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64335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594</v>
      </c>
      <c r="D908" s="2" t="str">
        <f t="shared" si="13"/>
        <v>Error?</v>
      </c>
    </row>
    <row r="909" spans="1:4" x14ac:dyDescent="0.2">
      <c r="A909" s="5">
        <v>848</v>
      </c>
      <c r="B909" s="138">
        <f>'Expenditures 15-22'!F55</f>
        <v>404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404</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404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64739</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32400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32400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32400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24456</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24456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361354</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361354</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0</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0</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0</v>
      </c>
      <c r="C1121" s="2" t="s">
        <v>594</v>
      </c>
      <c r="D1121" s="2" t="str">
        <f t="shared" si="16"/>
        <v>Error?</v>
      </c>
    </row>
    <row r="1122" spans="1:4" x14ac:dyDescent="0.2">
      <c r="A1122" s="5">
        <v>1061</v>
      </c>
      <c r="B1122" s="138">
        <f>'Expenditures 15-22'!K53</f>
        <v>0</v>
      </c>
      <c r="C1122" s="2" t="s">
        <v>594</v>
      </c>
      <c r="D1122" s="2" t="str">
        <f t="shared" si="16"/>
        <v>Error?</v>
      </c>
    </row>
    <row r="1123" spans="1:4" x14ac:dyDescent="0.2">
      <c r="A1123" s="5">
        <v>1062</v>
      </c>
      <c r="B1123" s="138">
        <f>'Expenditures 15-22'!K55</f>
        <v>47891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47891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3900</v>
      </c>
      <c r="C1127" s="2" t="s">
        <v>594</v>
      </c>
      <c r="D1127" s="2" t="str">
        <f t="shared" si="16"/>
        <v>Error?</v>
      </c>
    </row>
    <row r="1128" spans="1:4" x14ac:dyDescent="0.2">
      <c r="A1128" s="5">
        <v>1067</v>
      </c>
      <c r="B1128" s="138">
        <f>'Expenditures 15-22'!K61</f>
        <v>35950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436</v>
      </c>
      <c r="C1131" s="2" t="s">
        <v>594</v>
      </c>
      <c r="D1131" s="2" t="str">
        <f t="shared" si="16"/>
        <v>Error?</v>
      </c>
    </row>
    <row r="1132" spans="1:4" x14ac:dyDescent="0.2">
      <c r="A1132" s="10">
        <v>1071</v>
      </c>
      <c r="D1132" s="2" t="str">
        <f t="shared" si="16"/>
        <v>OK</v>
      </c>
    </row>
    <row r="1133" spans="1:4" x14ac:dyDescent="0.2">
      <c r="A1133" s="5">
        <v>1072</v>
      </c>
      <c r="B1133" s="138">
        <f>'Expenditures 15-22'!K65</f>
        <v>40286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88177</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24456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473987</v>
      </c>
      <c r="C1152" s="2" t="s">
        <v>594</v>
      </c>
      <c r="D1152" s="2" t="str">
        <f t="shared" si="17"/>
        <v>Error?</v>
      </c>
    </row>
    <row r="1153" spans="1:4" x14ac:dyDescent="0.2">
      <c r="A1153" s="5">
        <v>1092</v>
      </c>
      <c r="B1153" s="138">
        <f>'Expenditures 15-22'!K115</f>
        <v>101976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142532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244508</v>
      </c>
      <c r="C1630" s="2" t="s">
        <v>594</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16279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43258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32400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32400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48679</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75658</v>
      </c>
      <c r="C2031" s="2" t="s">
        <v>594</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814</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5310</v>
      </c>
      <c r="C2037" s="2" t="s">
        <v>594</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3248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12241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0</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4062</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17551</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0</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44617</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58107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24456</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24456</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373532</v>
      </c>
      <c r="C2551" s="2" t="s">
        <v>594</v>
      </c>
      <c r="D2551" s="2" t="str">
        <f t="shared" si="38"/>
        <v>Error?</v>
      </c>
    </row>
    <row r="2552" spans="1:4" x14ac:dyDescent="0.2">
      <c r="A2552" s="10">
        <v>2491</v>
      </c>
      <c r="D2552" s="2" t="str">
        <f t="shared" si="38"/>
        <v>OK</v>
      </c>
    </row>
    <row r="2553" spans="1:4" x14ac:dyDescent="0.2">
      <c r="A2553" s="5">
        <v>2492</v>
      </c>
      <c r="B2553" s="138">
        <f>'Acct Summary 7-8'!C6</f>
        <v>142325</v>
      </c>
      <c r="C2553" s="2" t="s">
        <v>594</v>
      </c>
      <c r="D2553" s="2" t="str">
        <f t="shared" si="38"/>
        <v>Error?</v>
      </c>
    </row>
    <row r="2554" spans="1:4" x14ac:dyDescent="0.2">
      <c r="A2554" s="5">
        <v>2493</v>
      </c>
      <c r="B2554" s="138">
        <f>'Acct Summary 7-8'!C7</f>
        <v>60106</v>
      </c>
      <c r="C2554" s="2" t="s">
        <v>594</v>
      </c>
      <c r="D2554" s="2" t="str">
        <f t="shared" si="38"/>
        <v>Error?</v>
      </c>
    </row>
    <row r="2555" spans="1:4" x14ac:dyDescent="0.2">
      <c r="A2555" s="5">
        <v>2494</v>
      </c>
      <c r="B2555" s="138">
        <f>'Acct Summary 7-8'!C8</f>
        <v>575963</v>
      </c>
      <c r="C2555" s="2" t="s">
        <v>594</v>
      </c>
      <c r="D2555" s="2" t="str">
        <f t="shared" si="38"/>
        <v>Error?</v>
      </c>
    </row>
    <row r="2556" spans="1:4" x14ac:dyDescent="0.2">
      <c r="A2556" s="5">
        <v>2495</v>
      </c>
      <c r="B2556" s="138">
        <f>'Acct Summary 7-8'!C12</f>
        <v>361354</v>
      </c>
      <c r="C2556" s="2" t="s">
        <v>594</v>
      </c>
      <c r="D2556" s="2" t="str">
        <f t="shared" si="38"/>
        <v>Error?</v>
      </c>
    </row>
    <row r="2557" spans="1:4" x14ac:dyDescent="0.2">
      <c r="A2557" s="5">
        <v>2496</v>
      </c>
      <c r="B2557" s="138">
        <f>'Acct Summary 7-8'!C13</f>
        <v>88177</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24456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473987</v>
      </c>
      <c r="C2561" s="2" t="s">
        <v>594</v>
      </c>
      <c r="D2561" s="2" t="str">
        <f t="shared" si="39"/>
        <v>Error?</v>
      </c>
    </row>
    <row r="2562" spans="1:4" x14ac:dyDescent="0.2">
      <c r="A2562" s="5">
        <v>2501</v>
      </c>
      <c r="B2562" s="138">
        <f>'Acct Summary 7-8'!C20</f>
        <v>101976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24456</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24456</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101976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213451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575963</v>
      </c>
      <c r="C4122" s="2" t="s">
        <v>594</v>
      </c>
      <c r="D4122" s="2" t="str">
        <f t="shared" si="63"/>
        <v>Error?</v>
      </c>
    </row>
    <row r="4123" spans="1:4" x14ac:dyDescent="0.2">
      <c r="A4123" s="5">
        <v>4062</v>
      </c>
      <c r="B4123" s="138">
        <f>'Acct Summary 7-8'!D10</f>
        <v>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473987</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244508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60106</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360231</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360231</v>
      </c>
      <c r="C5087" s="2" t="s">
        <v>594</v>
      </c>
      <c r="D5087" s="2" t="str">
        <f t="shared" si="78"/>
        <v>Error?</v>
      </c>
    </row>
    <row r="5088" spans="1:4" x14ac:dyDescent="0.2">
      <c r="A5088" s="5">
        <v>5027</v>
      </c>
      <c r="B5088" s="138">
        <f>'Revenues 9-14'!C65</f>
        <v>2257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2257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11044</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11044</v>
      </c>
      <c r="C5120" s="2" t="s">
        <v>594</v>
      </c>
      <c r="D5120" s="2" t="str">
        <f t="shared" si="79"/>
        <v>Error?</v>
      </c>
    </row>
    <row r="5121" spans="1:4" x14ac:dyDescent="0.2">
      <c r="A5121" s="5">
        <v>5060</v>
      </c>
      <c r="B5121" s="138">
        <f>'Revenues 9-14'!C109</f>
        <v>373532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142325</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142325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142325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142325</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60106</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60106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60106</v>
      </c>
      <c r="C5326" s="2" t="s">
        <v>594</v>
      </c>
      <c r="D5326" s="2" t="str">
        <f t="shared" si="82"/>
        <v>Error?</v>
      </c>
    </row>
    <row r="5327" spans="1:4" x14ac:dyDescent="0.2">
      <c r="A5327" s="5">
        <v>5266</v>
      </c>
      <c r="B5327" s="138">
        <f>'Revenues 9-14'!C275</f>
        <v>575963</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58606</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27549</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101976</v>
      </c>
      <c r="D6267" s="2" t="str">
        <f t="shared" si="96"/>
        <v>Error?</v>
      </c>
      <c r="E6267" s="2" t="s">
        <v>199</v>
      </c>
    </row>
    <row r="6268" spans="1:5" x14ac:dyDescent="0.2">
      <c r="A6268">
        <v>6207</v>
      </c>
      <c r="B6268" s="138">
        <f>'Acct Summary 7-8'!D82</f>
        <v>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0.41706610826639617</v>
      </c>
      <c r="D6276" s="2" t="str">
        <f t="shared" si="97"/>
        <v>Error?</v>
      </c>
      <c r="E6276" s="2" t="s">
        <v>199</v>
      </c>
    </row>
    <row r="6277" spans="1:5" x14ac:dyDescent="0.2">
      <c r="A6277">
        <v>6216</v>
      </c>
      <c r="B6277" s="138" t="e">
        <f>'Acct Summary 7-8'!D83</f>
        <v>#DIV/0!</v>
      </c>
      <c r="D6277" s="2" t="e">
        <f t="shared" si="97"/>
        <v>#DIV/0!</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6949</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6949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6949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26979</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26979</v>
      </c>
      <c r="D7618" s="2" t="str">
        <f t="shared" si="124"/>
        <v>Error?</v>
      </c>
      <c r="E7618" s="2" t="s">
        <v>19</v>
      </c>
    </row>
    <row r="7619" spans="1:5" x14ac:dyDescent="0.2">
      <c r="A7619">
        <f t="shared" si="123"/>
        <v>7558</v>
      </c>
      <c r="B7619" s="138">
        <f>'Cap Outlay Deprec 26'!H14</f>
        <v>4496</v>
      </c>
      <c r="D7619" s="2" t="str">
        <f t="shared" si="124"/>
        <v>Error?</v>
      </c>
      <c r="E7619" s="2" t="s">
        <v>19</v>
      </c>
    </row>
    <row r="7620" spans="1:5" x14ac:dyDescent="0.2">
      <c r="A7620">
        <f t="shared" si="123"/>
        <v>7559</v>
      </c>
      <c r="B7620" s="138">
        <f>'Cap Outlay Deprec 26'!I14</f>
        <v>8993</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13489</v>
      </c>
      <c r="D7622" s="2" t="str">
        <f t="shared" si="124"/>
        <v>Error?</v>
      </c>
      <c r="E7622" s="2" t="s">
        <v>19</v>
      </c>
    </row>
    <row r="7623" spans="1:5" x14ac:dyDescent="0.2">
      <c r="A7623">
        <f t="shared" si="123"/>
        <v>7562</v>
      </c>
      <c r="B7623" s="138">
        <f>'Cap Outlay Deprec 26'!L14</f>
        <v>13490</v>
      </c>
      <c r="D7623" s="2" t="str">
        <f t="shared" si="124"/>
        <v>Error?</v>
      </c>
      <c r="E7623" s="2" t="s">
        <v>19</v>
      </c>
    </row>
    <row r="7624" spans="1:5" x14ac:dyDescent="0.2">
      <c r="A7624">
        <f t="shared" si="123"/>
        <v>7563</v>
      </c>
      <c r="B7624" s="138">
        <f>'Cap Outlay Deprec 26'!F17</f>
        <v>6949</v>
      </c>
      <c r="D7624" s="2" t="str">
        <f t="shared" si="124"/>
        <v>Error?</v>
      </c>
      <c r="E7624" s="2" t="s">
        <v>19</v>
      </c>
    </row>
    <row r="7625" spans="1:5" x14ac:dyDescent="0.2">
      <c r="A7625">
        <f t="shared" si="123"/>
        <v>7564</v>
      </c>
      <c r="B7625" s="138">
        <f>'Cap Outlay Deprec 26'!I17</f>
        <v>694.9</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12935.9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7" t="s">
        <v>1253</v>
      </c>
      <c r="B2" s="2397"/>
      <c r="C2" s="2397"/>
      <c r="D2" s="2397"/>
      <c r="E2" s="2397"/>
      <c r="F2" s="2397"/>
      <c r="G2" s="2397"/>
      <c r="H2" s="2397"/>
      <c r="I2" s="2397"/>
      <c r="J2" s="2397"/>
      <c r="K2" s="2397"/>
      <c r="L2" s="2397"/>
    </row>
    <row r="3" spans="1:29" ht="13.5" customHeight="1" x14ac:dyDescent="0.2">
      <c r="A3" s="2428" t="s">
        <v>1252</v>
      </c>
      <c r="B3" s="2428"/>
      <c r="C3" s="2428"/>
      <c r="D3" s="2428"/>
      <c r="E3" s="2428"/>
      <c r="F3" s="2428"/>
      <c r="G3" s="2428"/>
      <c r="H3" s="2428"/>
      <c r="I3" s="2428"/>
      <c r="J3" s="2428"/>
      <c r="K3" s="2428"/>
      <c r="L3" s="2428"/>
    </row>
    <row r="4" spans="1:29" ht="13.5" customHeight="1" x14ac:dyDescent="0.2">
      <c r="A4" s="2397" t="s">
        <v>1799</v>
      </c>
      <c r="B4" s="2418"/>
      <c r="C4" s="2418"/>
      <c r="D4" s="2418"/>
      <c r="E4" s="2418"/>
      <c r="F4" s="2418"/>
      <c r="G4" s="2418"/>
      <c r="H4" s="2418"/>
      <c r="I4" s="2418"/>
      <c r="J4" s="2418"/>
      <c r="K4" s="2418"/>
      <c r="L4" s="2418"/>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9" t="str">
        <f>COVER!A17</f>
        <v>Galesburg Area Vocational Center</v>
      </c>
      <c r="B7" s="2420"/>
      <c r="C7" s="2420"/>
      <c r="D7" s="2421"/>
      <c r="E7" s="2422">
        <f>COVER!A13</f>
        <v>33048205041</v>
      </c>
      <c r="F7" s="2423"/>
      <c r="G7" s="2429" t="str">
        <f>COVER!T23</f>
        <v>066-004769</v>
      </c>
      <c r="H7" s="2430"/>
      <c r="I7" s="2430"/>
      <c r="J7" s="2430"/>
      <c r="K7" s="2430"/>
      <c r="L7" s="2431"/>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32"/>
      <c r="B9" s="2433"/>
      <c r="C9" s="2433"/>
      <c r="D9" s="2433"/>
      <c r="E9" s="2433"/>
      <c r="F9" s="2434"/>
      <c r="G9" s="2403" t="str">
        <f>COVER!T13</f>
        <v>Meister, Hilton, Chitwood &amp;  Associates, Inc.</v>
      </c>
      <c r="H9" s="2435"/>
      <c r="I9" s="2435"/>
      <c r="J9" s="2435"/>
      <c r="K9" s="2435"/>
      <c r="L9" s="2436"/>
    </row>
    <row r="10" spans="1:29" ht="13.5" customHeight="1" x14ac:dyDescent="0.2">
      <c r="A10" s="2409" t="str">
        <f>COVER!A38</f>
        <v>Dr.  John Asplund</v>
      </c>
      <c r="B10" s="2410"/>
      <c r="C10" s="2410"/>
      <c r="D10" s="2410"/>
      <c r="E10" s="2410"/>
      <c r="F10" s="2411"/>
      <c r="G10" s="2403" t="str">
        <f>COVER!T17</f>
        <v>809 W.  Detweiller Drive, Suite 804</v>
      </c>
      <c r="H10" s="2404"/>
      <c r="I10" s="2404"/>
      <c r="J10" s="2404"/>
      <c r="K10" s="2404"/>
      <c r="L10" s="2405"/>
    </row>
    <row r="11" spans="1:29" ht="13.5" customHeight="1" x14ac:dyDescent="0.2">
      <c r="A11" s="1185" t="s">
        <v>1599</v>
      </c>
      <c r="B11" s="1186"/>
      <c r="C11" s="1187"/>
      <c r="D11" s="1192"/>
      <c r="E11" s="1187"/>
      <c r="F11" s="1191"/>
      <c r="G11" s="2403" t="str">
        <f>COVER!T19</f>
        <v>Peoria</v>
      </c>
      <c r="H11" s="2404"/>
      <c r="I11" s="2404"/>
      <c r="J11" s="2404"/>
      <c r="K11" s="2404"/>
      <c r="L11" s="2405"/>
    </row>
    <row r="12" spans="1:29" ht="13.5" customHeight="1" x14ac:dyDescent="0.2">
      <c r="A12" s="2412" t="s">
        <v>1598</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1600</v>
      </c>
      <c r="H13" s="2399"/>
      <c r="I13" s="2415" t="str">
        <f>COVER!T25</f>
        <v>ron.hilton1@comcast.net</v>
      </c>
      <c r="J13" s="2416"/>
      <c r="K13" s="2416"/>
      <c r="L13" s="2417"/>
    </row>
    <row r="14" spans="1:29" ht="13.5" customHeight="1" x14ac:dyDescent="0.2">
      <c r="A14" s="2403" t="str">
        <f>COVER!A19</f>
        <v>1135 W.  Fremont Street</v>
      </c>
      <c r="B14" s="2404"/>
      <c r="C14" s="2404"/>
      <c r="D14" s="2404"/>
      <c r="E14" s="2404"/>
      <c r="F14" s="2405"/>
      <c r="G14" s="1196" t="s">
        <v>1247</v>
      </c>
      <c r="H14" s="1194"/>
      <c r="I14" s="1194"/>
      <c r="J14" s="1194"/>
      <c r="K14" s="1194"/>
      <c r="L14" s="1195"/>
    </row>
    <row r="15" spans="1:29" ht="13.5" customHeight="1" x14ac:dyDescent="0.2">
      <c r="A15" s="2403" t="str">
        <f>COVER!A21</f>
        <v>Galesburg</v>
      </c>
      <c r="B15" s="2404"/>
      <c r="C15" s="2404"/>
      <c r="D15" s="2404"/>
      <c r="E15" s="2404"/>
      <c r="F15" s="2405"/>
      <c r="G15" s="2400" t="str">
        <f>COVER!T15</f>
        <v>Ron Hilton</v>
      </c>
      <c r="H15" s="2401"/>
      <c r="I15" s="2401"/>
      <c r="J15" s="2401"/>
      <c r="K15" s="2401"/>
      <c r="L15" s="2402"/>
    </row>
    <row r="16" spans="1:29" ht="12.2" customHeight="1" x14ac:dyDescent="0.2">
      <c r="A16" s="2425">
        <f>COVER!A25</f>
        <v>61401</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6" t="s">
        <v>1246</v>
      </c>
      <c r="H17" s="1194"/>
      <c r="I17" s="1194"/>
      <c r="J17" s="1194"/>
      <c r="K17" s="1198" t="s">
        <v>1245</v>
      </c>
      <c r="L17" s="1191"/>
      <c r="M17" s="1184"/>
    </row>
    <row r="18" spans="1:13" ht="12.2" customHeight="1" x14ac:dyDescent="0.2">
      <c r="A18" s="2409"/>
      <c r="B18" s="2410"/>
      <c r="C18" s="2410"/>
      <c r="D18" s="2410"/>
      <c r="E18" s="2410"/>
      <c r="F18" s="2411"/>
      <c r="G18" s="2419" t="str">
        <f>COVER!T21</f>
        <v>(309) 683-0441</v>
      </c>
      <c r="H18" s="2420"/>
      <c r="I18" s="2420"/>
      <c r="J18" s="2420"/>
      <c r="K18" s="2419" t="str">
        <f>COVER!X21</f>
        <v>(309) 683-0443</v>
      </c>
      <c r="L18" s="2424"/>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1" t="str">
        <f>'Single Audit Cover'!A7</f>
        <v>Galesburg Area Vocational Center</v>
      </c>
      <c r="B1" s="2418"/>
      <c r="C1" s="2418"/>
      <c r="D1" s="2418"/>
    </row>
    <row r="2" spans="1:11" s="1215" customFormat="1" ht="12.75" x14ac:dyDescent="0.2">
      <c r="A2" s="2442">
        <f>'Single Audit Cover'!E7</f>
        <v>33048205041</v>
      </c>
      <c r="B2" s="2443"/>
      <c r="C2" s="2443"/>
      <c r="D2" s="2443"/>
    </row>
    <row r="3" spans="1:11" s="1215" customFormat="1" ht="12.75" x14ac:dyDescent="0.2">
      <c r="A3" s="2441" t="s">
        <v>1593</v>
      </c>
      <c r="B3" s="2418"/>
      <c r="C3" s="2418"/>
      <c r="D3" s="2418"/>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7"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5" t="str">
        <f>'Single Audit Cover'!A7</f>
        <v>Galesburg Area Vocational Center</v>
      </c>
      <c r="B1" s="2445"/>
      <c r="C1" s="2445"/>
      <c r="D1" s="2445"/>
      <c r="E1" s="2445"/>
    </row>
    <row r="2" spans="1:5" x14ac:dyDescent="0.2">
      <c r="A2" s="2446">
        <f>'Single Audit Cover'!E7</f>
        <v>33048205041</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60" t="s">
        <v>1305</v>
      </c>
    </row>
    <row r="10" spans="1:5" x14ac:dyDescent="0.2">
      <c r="A10" s="1261" t="s">
        <v>1304</v>
      </c>
      <c r="B10" s="1262" t="s">
        <v>1303</v>
      </c>
      <c r="C10" s="1262"/>
      <c r="D10" s="1263">
        <f>SUM('Acct Summary 7-8'!C7:K7)</f>
        <v>60106</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60106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7"/>
      <c r="B24" s="2447"/>
      <c r="D24" s="1268"/>
    </row>
    <row r="25" spans="1:4" x14ac:dyDescent="0.2">
      <c r="A25" s="2444"/>
      <c r="B25" s="2444"/>
      <c r="D25" s="1268"/>
    </row>
    <row r="26" spans="1:4" x14ac:dyDescent="0.2">
      <c r="A26" s="2444"/>
      <c r="B26" s="2444"/>
      <c r="D26" s="1268"/>
    </row>
    <row r="27" spans="1:4" x14ac:dyDescent="0.2">
      <c r="A27" s="2444"/>
      <c r="B27" s="2444"/>
      <c r="D27" s="1268"/>
    </row>
    <row r="28" spans="1:4" x14ac:dyDescent="0.2">
      <c r="A28" s="2444"/>
      <c r="B28" s="2444"/>
      <c r="D28" s="1268"/>
    </row>
    <row r="29" spans="1:4" x14ac:dyDescent="0.2">
      <c r="A29" s="2444"/>
      <c r="B29" s="2444"/>
      <c r="D29" s="1268"/>
    </row>
    <row r="30" spans="1:4" x14ac:dyDescent="0.2">
      <c r="A30" s="2444"/>
      <c r="B30" s="2444"/>
      <c r="D30" s="1268"/>
    </row>
    <row r="32" spans="1:4" x14ac:dyDescent="0.2">
      <c r="A32" s="1260" t="s">
        <v>1295</v>
      </c>
      <c r="D32" s="1263">
        <f>SUM(D19:D30)</f>
        <v>60106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4"/>
      <c r="B40" s="2444"/>
      <c r="D40" s="1268"/>
    </row>
    <row r="41" spans="1:4" x14ac:dyDescent="0.2">
      <c r="A41" s="2444"/>
      <c r="B41" s="2444"/>
      <c r="D41" s="1271"/>
    </row>
    <row r="42" spans="1:4" x14ac:dyDescent="0.2">
      <c r="A42" s="2444"/>
      <c r="B42" s="2444"/>
      <c r="D42" s="1271"/>
    </row>
    <row r="43" spans="1:4" x14ac:dyDescent="0.2">
      <c r="A43" s="2444"/>
      <c r="B43" s="2444"/>
      <c r="D43" s="1271"/>
    </row>
    <row r="44" spans="1:4" x14ac:dyDescent="0.2">
      <c r="A44" s="2444"/>
      <c r="B44" s="2444"/>
      <c r="D44" s="1271"/>
    </row>
    <row r="45" spans="1:4" x14ac:dyDescent="0.2">
      <c r="A45" s="2444"/>
      <c r="B45" s="2444"/>
      <c r="D45" s="1271"/>
    </row>
    <row r="47" spans="1:4" x14ac:dyDescent="0.2">
      <c r="B47" s="1272" t="s">
        <v>1289</v>
      </c>
      <c r="C47" s="1272"/>
      <c r="D47" s="1273">
        <f>SUM(D35:D45)</f>
        <v>0</v>
      </c>
    </row>
    <row r="49" spans="2:4" x14ac:dyDescent="0.2">
      <c r="B49" s="1272" t="s">
        <v>1288</v>
      </c>
      <c r="C49" s="1272"/>
      <c r="D49" s="1273">
        <f>D32-D47</f>
        <v>60106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Galesburg Area Vocational Center</v>
      </c>
      <c r="B1" s="2458"/>
      <c r="C1" s="2458"/>
      <c r="D1" s="2458"/>
      <c r="E1" s="2458"/>
      <c r="F1" s="2458"/>
    </row>
    <row r="2" spans="1:7" ht="13.5" customHeight="1" x14ac:dyDescent="0.2">
      <c r="A2" s="2459">
        <f>'Single Audit Cover'!E7</f>
        <v>33048205041</v>
      </c>
      <c r="B2" s="2459"/>
      <c r="C2" s="2459"/>
      <c r="D2" s="2459"/>
      <c r="E2" s="2459"/>
      <c r="F2" s="2459"/>
      <c r="G2" s="1275"/>
    </row>
    <row r="3" spans="1:7" ht="15.75" customHeight="1" x14ac:dyDescent="0.2">
      <c r="A3" s="2460" t="s">
        <v>1333</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6" t="s">
        <v>1831</v>
      </c>
      <c r="C6" s="317"/>
      <c r="D6" s="317"/>
    </row>
    <row r="7" spans="1:7" ht="60.95" customHeight="1" x14ac:dyDescent="0.2">
      <c r="A7" s="2457" t="s">
        <v>1832</v>
      </c>
      <c r="B7" s="2457"/>
      <c r="C7" s="2457"/>
      <c r="D7" s="2457"/>
      <c r="E7" s="2457"/>
      <c r="F7" s="2457"/>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7" t="s">
        <v>1834</v>
      </c>
      <c r="B13" s="2457"/>
      <c r="C13" s="2457"/>
      <c r="D13" s="2457"/>
      <c r="E13" s="2457"/>
      <c r="F13" s="2457"/>
    </row>
    <row r="14" spans="1:7" ht="9.75" customHeight="1" x14ac:dyDescent="0.2">
      <c r="C14" s="1260"/>
      <c r="D14" s="1260"/>
    </row>
    <row r="15" spans="1:7" ht="13.5" customHeight="1" x14ac:dyDescent="0.2">
      <c r="C15" s="1871" t="s">
        <v>1332</v>
      </c>
      <c r="D15" s="2455" t="s">
        <v>1331</v>
      </c>
      <c r="E15" s="2455"/>
      <c r="F15" s="2455"/>
    </row>
    <row r="16" spans="1:7" ht="13.5" customHeight="1" x14ac:dyDescent="0.2">
      <c r="A16" s="1282"/>
      <c r="B16" s="1276" t="s">
        <v>1330</v>
      </c>
      <c r="C16" s="1871" t="s">
        <v>1329</v>
      </c>
      <c r="D16" s="2456" t="s">
        <v>1670</v>
      </c>
      <c r="E16" s="2456"/>
      <c r="F16" s="2456"/>
    </row>
    <row r="17" spans="1:6" ht="20.45" customHeight="1" x14ac:dyDescent="0.2">
      <c r="A17" s="1283"/>
      <c r="B17" s="1284"/>
      <c r="C17" s="1285"/>
      <c r="D17" s="2450"/>
      <c r="E17" s="2450"/>
      <c r="F17" s="2450"/>
    </row>
    <row r="18" spans="1:6" ht="20.65" customHeight="1" x14ac:dyDescent="0.2">
      <c r="A18" s="1283"/>
      <c r="B18" s="1284"/>
      <c r="C18" s="1285"/>
      <c r="D18" s="2450"/>
      <c r="E18" s="2450"/>
      <c r="F18" s="2450"/>
    </row>
    <row r="19" spans="1:6" ht="20.65" customHeight="1" x14ac:dyDescent="0.2">
      <c r="A19" s="1283"/>
      <c r="B19" s="1284"/>
      <c r="C19" s="1285"/>
      <c r="D19" s="2450"/>
      <c r="E19" s="2450"/>
      <c r="F19" s="2450"/>
    </row>
    <row r="20" spans="1:6" ht="20.65" customHeight="1" x14ac:dyDescent="0.2">
      <c r="A20" s="1283"/>
      <c r="B20" s="1284"/>
      <c r="C20" s="1285"/>
      <c r="D20" s="2450"/>
      <c r="E20" s="2450"/>
      <c r="F20" s="2450"/>
    </row>
    <row r="21" spans="1:6" ht="20.65" customHeight="1" x14ac:dyDescent="0.2">
      <c r="A21" s="1283"/>
      <c r="B21" s="1284"/>
      <c r="C21" s="1285"/>
      <c r="D21" s="2450"/>
      <c r="E21" s="2450"/>
      <c r="F21" s="2450"/>
    </row>
    <row r="22" spans="1:6" ht="20.65" customHeight="1" x14ac:dyDescent="0.2">
      <c r="A22" s="1283"/>
      <c r="B22" s="1284"/>
      <c r="C22" s="1285"/>
      <c r="D22" s="2450"/>
      <c r="E22" s="2450"/>
      <c r="F22" s="2450"/>
    </row>
    <row r="23" spans="1:6" ht="20.65" customHeight="1" x14ac:dyDescent="0.2">
      <c r="A23" s="1283"/>
      <c r="B23" s="1284"/>
      <c r="C23" s="1285"/>
      <c r="D23" s="2450"/>
      <c r="E23" s="2450"/>
      <c r="F23" s="2450"/>
    </row>
    <row r="24" spans="1:6" ht="20.65" customHeight="1" x14ac:dyDescent="0.2">
      <c r="A24" s="1283"/>
      <c r="B24" s="1284"/>
      <c r="C24" s="1285"/>
      <c r="D24" s="2450"/>
      <c r="E24" s="2450"/>
      <c r="F24" s="2450"/>
    </row>
    <row r="25" spans="1:6" ht="20.65" customHeight="1" x14ac:dyDescent="0.2">
      <c r="A25" s="1283"/>
      <c r="B25" s="1284"/>
      <c r="C25" s="1285"/>
      <c r="D25" s="2450"/>
      <c r="E25" s="2450"/>
      <c r="F25" s="2450"/>
    </row>
    <row r="26" spans="1:6" ht="20.65" customHeight="1" x14ac:dyDescent="0.2">
      <c r="A26" s="1283"/>
      <c r="B26" s="1284"/>
      <c r="C26" s="1285"/>
      <c r="D26" s="2450"/>
      <c r="E26" s="2450"/>
      <c r="F26" s="2450"/>
    </row>
    <row r="27" spans="1:6" ht="20.65" customHeight="1" x14ac:dyDescent="0.2">
      <c r="A27" s="1283"/>
      <c r="B27" s="1284"/>
      <c r="C27" s="1285"/>
      <c r="D27" s="2450"/>
      <c r="E27" s="2450"/>
      <c r="F27" s="2450"/>
    </row>
    <row r="28" spans="1:6" ht="20.65" customHeight="1" x14ac:dyDescent="0.2">
      <c r="A28" s="1283"/>
      <c r="B28" s="1284"/>
      <c r="C28" s="1285"/>
      <c r="D28" s="2450"/>
      <c r="E28" s="2450"/>
      <c r="F28" s="2450"/>
    </row>
    <row r="29" spans="1:6" ht="20.65" customHeight="1" x14ac:dyDescent="0.2">
      <c r="A29" s="1283"/>
      <c r="B29" s="1284"/>
      <c r="C29" s="1285"/>
      <c r="D29" s="2450"/>
      <c r="E29" s="2450"/>
      <c r="F29" s="2450"/>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1" t="s">
        <v>1835</v>
      </c>
      <c r="B32" s="2451"/>
      <c r="C32" s="2451"/>
      <c r="D32" s="2451"/>
      <c r="E32" s="2451"/>
      <c r="F32" s="2451"/>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2">
        <f>+C33+C34</f>
        <v>0</v>
      </c>
      <c r="F34" s="245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4" t="s">
        <v>1672</v>
      </c>
      <c r="C49" s="2454"/>
      <c r="D49" s="2454"/>
      <c r="E49" s="1399"/>
    </row>
    <row r="50" spans="1:5" s="1300" customFormat="1" ht="3.75" customHeight="1" x14ac:dyDescent="0.2">
      <c r="A50" s="1299"/>
      <c r="B50" s="1870"/>
      <c r="C50" s="1870"/>
      <c r="D50" s="1870"/>
      <c r="E50" s="1399"/>
    </row>
    <row r="51" spans="1:5" s="1300" customFormat="1" ht="20.25" customHeight="1" x14ac:dyDescent="0.2">
      <c r="A51" s="1301">
        <v>6</v>
      </c>
      <c r="B51" s="2449" t="s">
        <v>1632</v>
      </c>
      <c r="C51" s="2449"/>
      <c r="D51" s="2449"/>
    </row>
    <row r="52" spans="1:5" ht="14.25" customHeight="1" x14ac:dyDescent="0.2">
      <c r="A52" s="1301"/>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H15" sqref="H15"/>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8" t="str">
        <f>'Single Audit Cover'!A7</f>
        <v>Galesburg Area Vocational Center</v>
      </c>
      <c r="C1" s="2462"/>
      <c r="D1" s="2462"/>
      <c r="E1" s="2462"/>
      <c r="F1" s="2462"/>
      <c r="G1" s="2462"/>
      <c r="H1" s="2462"/>
      <c r="I1" s="2462"/>
      <c r="J1" s="2462"/>
      <c r="K1" s="2462"/>
      <c r="L1" s="2462"/>
      <c r="M1" s="2462"/>
    </row>
    <row r="2" spans="2:14" ht="15" x14ac:dyDescent="0.2">
      <c r="B2" s="2459">
        <f>'Single Audit Cover'!E7</f>
        <v>33048205041</v>
      </c>
      <c r="C2" s="2459"/>
      <c r="D2" s="2459"/>
      <c r="E2" s="2459"/>
      <c r="F2" s="2459"/>
      <c r="G2" s="2459"/>
      <c r="H2" s="2459"/>
      <c r="I2" s="2459"/>
      <c r="J2" s="2459"/>
      <c r="K2" s="2459"/>
      <c r="L2" s="2459"/>
      <c r="M2" s="2459"/>
      <c r="N2" s="1302"/>
    </row>
    <row r="3" spans="2:14" ht="15" x14ac:dyDescent="0.2">
      <c r="B3" s="2463" t="s">
        <v>1281</v>
      </c>
      <c r="C3" s="2463"/>
      <c r="D3" s="2463"/>
      <c r="E3" s="2463"/>
      <c r="F3" s="2463"/>
      <c r="G3" s="2463"/>
      <c r="H3" s="2463"/>
      <c r="I3" s="2463"/>
      <c r="J3" s="2463"/>
      <c r="K3" s="2463"/>
      <c r="L3" s="2463"/>
      <c r="M3" s="2463"/>
      <c r="N3" s="1302"/>
    </row>
    <row r="4" spans="2:14" ht="15" x14ac:dyDescent="0.2">
      <c r="B4" s="2464" t="str">
        <f>'Single Audit Cover'!A4</f>
        <v>Year Ending June 30, 2018</v>
      </c>
      <c r="C4" s="2464"/>
      <c r="D4" s="2464"/>
      <c r="E4" s="2464"/>
      <c r="F4" s="2464"/>
      <c r="G4" s="2464"/>
      <c r="H4" s="2464"/>
      <c r="I4" s="2464"/>
      <c r="J4" s="2464"/>
      <c r="K4" s="2464"/>
      <c r="L4" s="2464"/>
      <c r="M4" s="2464"/>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Galesburg Area Vocational Center</v>
      </c>
      <c r="C1" s="2477"/>
      <c r="D1" s="2477"/>
      <c r="E1" s="2477"/>
      <c r="F1" s="2477"/>
      <c r="G1" s="2477"/>
      <c r="H1" s="2477"/>
      <c r="I1" s="2477"/>
      <c r="J1" s="1422"/>
    </row>
    <row r="2" spans="2:10" s="317" customFormat="1" ht="12.75" customHeight="1" x14ac:dyDescent="0.2">
      <c r="B2" s="2478">
        <f>'Single Audit Cover'!E7</f>
        <v>33048205041</v>
      </c>
      <c r="C2" s="2479"/>
      <c r="D2" s="2479"/>
      <c r="E2" s="2479"/>
      <c r="F2" s="2479"/>
      <c r="G2" s="2479"/>
      <c r="H2" s="2479"/>
      <c r="I2" s="2479"/>
      <c r="J2" s="1422"/>
    </row>
    <row r="3" spans="2:10" s="317" customFormat="1" ht="12.75" customHeight="1" x14ac:dyDescent="0.2">
      <c r="B3" s="2480" t="s">
        <v>1347</v>
      </c>
      <c r="C3" s="2481"/>
      <c r="D3" s="2481"/>
      <c r="E3" s="2481"/>
      <c r="F3" s="2481"/>
      <c r="G3" s="2481"/>
      <c r="H3" s="2481"/>
      <c r="I3" s="2481"/>
      <c r="J3" s="1423"/>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0" t="s">
        <v>1346</v>
      </c>
      <c r="C7" s="2481"/>
      <c r="D7" s="2481"/>
      <c r="E7" s="2481"/>
      <c r="F7" s="2481"/>
      <c r="G7" s="2481"/>
      <c r="H7" s="2481"/>
      <c r="I7" s="2481"/>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2"/>
      <c r="D11" s="2482"/>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3"/>
      <c r="E29" s="2483"/>
      <c r="F29" s="2483"/>
      <c r="G29" s="2483"/>
      <c r="H29" s="2483"/>
      <c r="I29" s="2483"/>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4" t="s">
        <v>1854</v>
      </c>
      <c r="D37" s="2485"/>
      <c r="E37" s="2485"/>
      <c r="F37" s="2486"/>
      <c r="G37" s="2484" t="s">
        <v>1674</v>
      </c>
      <c r="H37" s="2485"/>
      <c r="I37" s="2486"/>
    </row>
    <row r="38" spans="2:9" ht="16.5" customHeight="1" x14ac:dyDescent="0.2">
      <c r="B38" s="1444"/>
      <c r="C38" s="2472"/>
      <c r="D38" s="2473"/>
      <c r="E38" s="2473"/>
      <c r="F38" s="2474"/>
      <c r="G38" s="2487"/>
      <c r="H38" s="2488"/>
      <c r="I38" s="2489"/>
    </row>
    <row r="39" spans="2:9" ht="16.5" customHeight="1" x14ac:dyDescent="0.2">
      <c r="B39" s="1444"/>
      <c r="C39" s="2472"/>
      <c r="D39" s="2473"/>
      <c r="E39" s="2473"/>
      <c r="F39" s="2474"/>
      <c r="G39" s="2475"/>
      <c r="H39" s="2475"/>
      <c r="I39" s="2475"/>
    </row>
    <row r="40" spans="2:9" ht="16.5" customHeight="1" x14ac:dyDescent="0.2">
      <c r="B40" s="1444"/>
      <c r="C40" s="2472"/>
      <c r="D40" s="2473"/>
      <c r="E40" s="2473"/>
      <c r="F40" s="2474"/>
      <c r="G40" s="2475"/>
      <c r="H40" s="2475"/>
      <c r="I40" s="2475"/>
    </row>
    <row r="41" spans="2:9" ht="16.5" customHeight="1" x14ac:dyDescent="0.2">
      <c r="B41" s="1444"/>
      <c r="C41" s="2472"/>
      <c r="D41" s="2473"/>
      <c r="E41" s="2473"/>
      <c r="F41" s="2474"/>
      <c r="G41" s="2475"/>
      <c r="H41" s="2475"/>
      <c r="I41" s="2475"/>
    </row>
    <row r="42" spans="2:9" ht="16.5" customHeight="1" x14ac:dyDescent="0.2">
      <c r="B42" s="1444"/>
      <c r="C42" s="2472"/>
      <c r="D42" s="2473"/>
      <c r="E42" s="2473"/>
      <c r="F42" s="2474"/>
      <c r="G42" s="2475"/>
      <c r="H42" s="2475"/>
      <c r="I42" s="2475"/>
    </row>
    <row r="43" spans="2:9" ht="16.5" customHeight="1" x14ac:dyDescent="0.2">
      <c r="B43" s="1444"/>
      <c r="C43" s="2465" t="s">
        <v>1675</v>
      </c>
      <c r="D43" s="2466"/>
      <c r="E43" s="2466"/>
      <c r="F43" s="2467"/>
      <c r="G43" s="2468">
        <f>SUM(G38:I42)</f>
        <v>0</v>
      </c>
      <c r="H43" s="2468"/>
      <c r="I43" s="2468"/>
    </row>
    <row r="44" spans="2:9" ht="12.75" customHeight="1" x14ac:dyDescent="0.2"/>
    <row r="45" spans="2:9" ht="12.75" customHeight="1" x14ac:dyDescent="0.2">
      <c r="B45" s="1435" t="s">
        <v>1952</v>
      </c>
      <c r="D45" s="2469">
        <v>0</v>
      </c>
      <c r="E45" s="2470"/>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71"/>
      <c r="F49" s="2471"/>
      <c r="G49" s="2471"/>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Galesburg Area Vocational Center</v>
      </c>
      <c r="C1" s="2476"/>
      <c r="D1" s="2476"/>
      <c r="E1" s="2476"/>
      <c r="F1" s="2476"/>
      <c r="G1" s="2476"/>
      <c r="H1" s="2476"/>
      <c r="I1" s="2476"/>
      <c r="J1" s="2476"/>
      <c r="K1" s="2476"/>
      <c r="L1" s="1374"/>
      <c r="M1" s="1374"/>
    </row>
    <row r="2" spans="1:13" ht="12" customHeight="1" x14ac:dyDescent="0.2">
      <c r="B2" s="2478">
        <f>'Single Audit Cover'!E7</f>
        <v>33048205041</v>
      </c>
      <c r="C2" s="2478"/>
      <c r="D2" s="2478"/>
      <c r="E2" s="2478"/>
      <c r="F2" s="2478"/>
      <c r="G2" s="2478"/>
      <c r="H2" s="2478"/>
      <c r="I2" s="2478"/>
      <c r="J2" s="2478"/>
      <c r="K2" s="2478"/>
      <c r="L2" s="1375"/>
      <c r="M2" s="1376"/>
    </row>
    <row r="3" spans="1:13" ht="10.35" customHeight="1" x14ac:dyDescent="0.2">
      <c r="B3" s="2492" t="s">
        <v>1347</v>
      </c>
      <c r="C3" s="2492"/>
      <c r="D3" s="2492"/>
      <c r="E3" s="2492"/>
      <c r="F3" s="2492"/>
      <c r="G3" s="2492"/>
      <c r="H3" s="2492"/>
      <c r="I3" s="2492"/>
      <c r="J3" s="2492"/>
      <c r="K3" s="2492"/>
      <c r="L3" s="1377"/>
      <c r="M3" s="1377"/>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3" t="s">
        <v>1363</v>
      </c>
      <c r="C7" s="2493"/>
      <c r="D7" s="2494"/>
      <c r="E7" s="2494"/>
      <c r="F7" s="2494"/>
      <c r="G7" s="2494"/>
      <c r="H7" s="2494"/>
      <c r="I7" s="2494"/>
      <c r="J7" s="2494"/>
      <c r="K7" s="2494"/>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1"/>
      <c r="C14" s="2491"/>
      <c r="D14" s="2491"/>
      <c r="E14" s="2491"/>
      <c r="F14" s="2491"/>
      <c r="G14" s="2491"/>
      <c r="H14" s="2491"/>
      <c r="I14" s="2491"/>
      <c r="J14" s="2491"/>
      <c r="K14" s="2491"/>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1"/>
      <c r="C17" s="2491"/>
      <c r="D17" s="2491"/>
      <c r="E17" s="2491"/>
      <c r="F17" s="2491"/>
      <c r="G17" s="2491"/>
      <c r="H17" s="2491"/>
      <c r="I17" s="2491"/>
      <c r="J17" s="2491"/>
      <c r="K17" s="2491"/>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5"/>
      <c r="C20" s="2495"/>
      <c r="D20" s="2491"/>
      <c r="E20" s="2491"/>
      <c r="F20" s="2491"/>
      <c r="G20" s="2491"/>
      <c r="H20" s="2491"/>
      <c r="I20" s="2491"/>
      <c r="J20" s="2491"/>
      <c r="K20" s="2491"/>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1"/>
      <c r="C23" s="2491"/>
      <c r="D23" s="2491"/>
      <c r="E23" s="2491"/>
      <c r="F23" s="2491"/>
      <c r="G23" s="2491"/>
      <c r="H23" s="2491"/>
      <c r="I23" s="2491"/>
      <c r="J23" s="2491"/>
      <c r="K23" s="2491"/>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1"/>
      <c r="C26" s="2491"/>
      <c r="D26" s="2491"/>
      <c r="E26" s="2491"/>
      <c r="F26" s="2491"/>
      <c r="G26" s="2491"/>
      <c r="H26" s="2491"/>
      <c r="I26" s="2491"/>
      <c r="J26" s="2491"/>
      <c r="K26" s="2491"/>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0"/>
      <c r="C29" s="2490"/>
      <c r="D29" s="2491"/>
      <c r="E29" s="2491"/>
      <c r="F29" s="2491"/>
      <c r="G29" s="2491"/>
      <c r="H29" s="2491"/>
      <c r="I29" s="2491"/>
      <c r="J29" s="2491"/>
      <c r="K29" s="2491"/>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0"/>
      <c r="C32" s="2490"/>
      <c r="D32" s="2491"/>
      <c r="E32" s="2491"/>
      <c r="F32" s="2491"/>
      <c r="G32" s="2491"/>
      <c r="H32" s="2491"/>
      <c r="I32" s="2491"/>
      <c r="J32" s="2491"/>
      <c r="K32" s="2491"/>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Galesburg Area Vocational Center</v>
      </c>
      <c r="C1" s="2499"/>
      <c r="D1" s="2499"/>
      <c r="E1" s="2499"/>
      <c r="F1" s="2499"/>
      <c r="G1" s="2499"/>
      <c r="H1" s="2499"/>
      <c r="I1" s="2499"/>
      <c r="J1" s="2499"/>
      <c r="K1" s="2499"/>
      <c r="L1" s="1465"/>
    </row>
    <row r="2" spans="1:12" ht="12.75" customHeight="1" x14ac:dyDescent="0.2">
      <c r="B2" s="2500">
        <f>'Single Audit Cover'!E7</f>
        <v>33048205041</v>
      </c>
      <c r="C2" s="2500"/>
      <c r="D2" s="2500"/>
      <c r="E2" s="2500"/>
      <c r="F2" s="2500"/>
      <c r="G2" s="2500"/>
      <c r="H2" s="2500"/>
      <c r="I2" s="2500"/>
      <c r="J2" s="2500"/>
      <c r="K2" s="2500"/>
      <c r="L2" s="1466"/>
    </row>
    <row r="3" spans="1:12" ht="12.75" customHeight="1" x14ac:dyDescent="0.2">
      <c r="B3" s="2492" t="s">
        <v>1347</v>
      </c>
      <c r="C3" s="2492"/>
      <c r="D3" s="2492"/>
      <c r="E3" s="2492"/>
      <c r="F3" s="2492"/>
      <c r="G3" s="2492"/>
      <c r="H3" s="2492"/>
      <c r="I3" s="2492"/>
      <c r="J3" s="2492"/>
      <c r="K3" s="2492"/>
      <c r="L3" s="1377"/>
    </row>
    <row r="4" spans="1:12" ht="12.75" customHeight="1" x14ac:dyDescent="0.2">
      <c r="B4" s="2492" t="str">
        <f>'Single Audit Cover'!A4</f>
        <v>Year Ending June 30, 2018</v>
      </c>
      <c r="C4" s="2492"/>
      <c r="D4" s="2492"/>
      <c r="E4" s="2492"/>
      <c r="F4" s="2492"/>
      <c r="G4" s="2492"/>
      <c r="H4" s="2492"/>
      <c r="I4" s="2492"/>
      <c r="J4" s="2492"/>
      <c r="K4" s="2492"/>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3"/>
      <c r="G12" s="2483"/>
      <c r="H12" s="2483"/>
      <c r="I12" s="2483"/>
      <c r="J12" s="2483"/>
      <c r="K12" s="248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6"/>
      <c r="E14" s="2496"/>
      <c r="F14" s="2496"/>
      <c r="H14" s="1475" t="s">
        <v>1370</v>
      </c>
      <c r="I14" s="2497"/>
      <c r="J14" s="2497"/>
      <c r="K14" s="2497"/>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7"/>
      <c r="E16" s="2497"/>
      <c r="F16" s="2497"/>
      <c r="G16" s="2497"/>
      <c r="H16" s="2497"/>
      <c r="I16" s="2497"/>
      <c r="J16" s="2497"/>
      <c r="K16" s="2497"/>
      <c r="L16" s="322"/>
    </row>
    <row r="17" spans="2:12" ht="13.5" customHeight="1" x14ac:dyDescent="0.2">
      <c r="B17" s="1387" t="s">
        <v>1368</v>
      </c>
      <c r="C17" s="1387"/>
      <c r="D17" s="2498"/>
      <c r="E17" s="2498"/>
      <c r="F17" s="2498"/>
      <c r="G17" s="2498"/>
      <c r="H17" s="2498"/>
      <c r="I17" s="2498"/>
      <c r="J17" s="2498"/>
      <c r="K17" s="2498"/>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1"/>
      <c r="C20" s="2491"/>
      <c r="D20" s="2491"/>
      <c r="E20" s="2491"/>
      <c r="F20" s="2491"/>
      <c r="G20" s="2491"/>
      <c r="H20" s="2491"/>
      <c r="I20" s="2491"/>
      <c r="J20" s="2491"/>
      <c r="K20" s="2491"/>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6" t="str">
        <f>'Single Audit Cover'!A7</f>
        <v>Galesburg Area Vocational Center</v>
      </c>
      <c r="C1" s="2476"/>
      <c r="D1" s="2476"/>
      <c r="E1" s="1491"/>
    </row>
    <row r="2" spans="2:5" s="1282" customFormat="1" ht="12.75" customHeight="1" x14ac:dyDescent="0.2">
      <c r="B2" s="2478">
        <f>'Single Audit Cover'!E7</f>
        <v>33048205041</v>
      </c>
      <c r="C2" s="2478"/>
      <c r="D2" s="2478"/>
      <c r="E2" s="1492"/>
    </row>
    <row r="3" spans="2:5" ht="12.75" customHeight="1" x14ac:dyDescent="0.2">
      <c r="B3" s="2492" t="s">
        <v>1869</v>
      </c>
      <c r="C3" s="2492"/>
      <c r="D3" s="2492"/>
      <c r="E3" s="1274"/>
    </row>
    <row r="4" spans="2:5" s="1282" customFormat="1" ht="12.75" customHeight="1" x14ac:dyDescent="0.2">
      <c r="B4" s="2502" t="str">
        <f>'Single Audit Cover'!A4</f>
        <v>Year Ending June 30, 2018</v>
      </c>
      <c r="C4" s="2502"/>
      <c r="D4" s="2502"/>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purl.org/dc/elements/1.1/"/>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schemas.microsoft.com/office/2006/documentManagement/types"/>
    <ds:schemaRef ds:uri="d21dc803-237d-4c68-8692-8d731fd29118"/>
    <ds:schemaRef ds:uri="6ce3111e-7420-4802-b50a-75d4e9a0b980"/>
    <ds:schemaRef ds:uri="4d435f69-8686-490b-bd6d-b153bf22ab50"/>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2018-09-19T18:03:56Z</cp:lastPrinted>
  <dcterms:created xsi:type="dcterms:W3CDTF">2003-10-29T19:06:34Z</dcterms:created>
  <dcterms:modified xsi:type="dcterms:W3CDTF">2018-09-27T18:56:37Z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