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3040" windowHeight="96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Sheet1" sheetId="183" r:id="rId10"/>
    <sheet name="Sheet2" sheetId="184" r:id="rId11"/>
    <sheet name="Tax Sched 23" sheetId="7" r:id="rId12"/>
    <sheet name="Short-Term Long-Term Debt 24" sheetId="8" r:id="rId13"/>
    <sheet name="Rest Tax Levies-Tort Im 25" sheetId="12" r:id="rId14"/>
    <sheet name="Cap Outlay Deprec 26" sheetId="11" r:id="rId15"/>
    <sheet name="PCTC-OEPP 27-28" sheetId="34" r:id="rId16"/>
    <sheet name="Contracts Paid in CY 29" sheetId="181" r:id="rId17"/>
    <sheet name="ICR Computation 30" sheetId="108" r:id="rId18"/>
    <sheet name="Shared Outsourced Services 31" sheetId="182" r:id="rId19"/>
    <sheet name="AC32" sheetId="145" r:id="rId20"/>
    <sheet name="Itemization 33" sheetId="127" r:id="rId21"/>
    <sheet name="REF 34" sheetId="117" r:id="rId22"/>
    <sheet name="Opinion-Notes 35" sheetId="129" r:id="rId23"/>
    <sheet name="DeficitAFRSum Calc 36" sheetId="146" r:id="rId24"/>
    <sheet name="AUDITCHECK" sheetId="36" r:id="rId25"/>
    <sheet name="AFR18" sheetId="106" state="hidden" r:id="rId26"/>
    <sheet name="Single Audit Cover" sheetId="169" r:id="rId27"/>
    <sheet name="Single Audit Checklist" sheetId="170" r:id="rId28"/>
    <sheet name="SEFA Reconcile" sheetId="171" r:id="rId29"/>
    <sheet name="SEFA NOTES" sheetId="173" r:id="rId30"/>
    <sheet name=" SEFA" sheetId="179" r:id="rId31"/>
    <sheet name="SF&amp;QC Sec-1" sheetId="174" r:id="rId32"/>
    <sheet name="SF&amp;QC Sec-2" sheetId="175" r:id="rId33"/>
    <sheet name="SF&amp;QC Sec-3" sheetId="176" r:id="rId34"/>
    <sheet name="SSPAF" sheetId="177" r:id="rId35"/>
  </sheets>
  <definedNames>
    <definedName name="_xlnm.Print_Area" localSheetId="30">' SEFA'!$B$1:$M$46</definedName>
    <definedName name="_xlnm.Print_Area" localSheetId="29">'SEFA NOTES'!$A$1:$F$52</definedName>
    <definedName name="_xlnm.Print_Area" localSheetId="28">'SEFA Reconcile'!$A$1:$E$49</definedName>
    <definedName name="_xlnm.Print_Area" localSheetId="31">'SF&amp;QC Sec-1'!$A$1:$J$63</definedName>
    <definedName name="_xlnm.Print_Area" localSheetId="33">'SF&amp;QC Sec-3'!$A$1:$K$52</definedName>
    <definedName name="_xlnm.Print_Area" localSheetId="27">'Single Audit Checklist'!$A$1:$D$124</definedName>
    <definedName name="_xlnm.Print_Area" localSheetId="26">'Single Audit Cover'!$A$1:$L$52</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6">'Contracts Paid in CY 29'!$15:$15</definedName>
    <definedName name="_xlnm.Print_Titles" localSheetId="8">'Expenditures 15-22'!$A:$B,'Expenditures 15-22'!$1:$2</definedName>
    <definedName name="_xlnm.Print_Titles" localSheetId="15">'PCTC-OEPP 27-28'!$1:$5</definedName>
    <definedName name="_xlnm.Print_Titles" localSheetId="7">'Revenues 9-14'!$A:$B,'Revenues 9-14'!$1:$2</definedName>
    <definedName name="_xlnm.Print_Titles" localSheetId="18">'Shared Outsourced Services 31'!$5:$5</definedName>
    <definedName name="_xlnm.Print_Titles" localSheetId="27">'Single Audit Checklist'!$1:$4</definedName>
    <definedName name="SCHADDRS" localSheetId="30">#REF!</definedName>
    <definedName name="SCHADDRS" localSheetId="19">#REF!</definedName>
    <definedName name="SCHADDRS" localSheetId="23">#REF!</definedName>
    <definedName name="SCHADDRS" localSheetId="4">#REF!</definedName>
    <definedName name="SCHADDRS" localSheetId="29">#REF!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#REF!</definedName>
    <definedName name="SCHCTY" localSheetId="30">#REF!</definedName>
    <definedName name="SCHCTY" localSheetId="19">#REF!</definedName>
    <definedName name="SCHCTY" localSheetId="23">#REF!</definedName>
    <definedName name="SCHCTY" localSheetId="4">#REF!</definedName>
    <definedName name="SCHCTY" localSheetId="29">#REF!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#REF!</definedName>
    <definedName name="SCHNMBR" localSheetId="30">#REF!</definedName>
    <definedName name="SCHNMBR" localSheetId="19">#REF!</definedName>
    <definedName name="SCHNMBR" localSheetId="23">#REF!</definedName>
    <definedName name="SCHNMBR" localSheetId="4">#REF!</definedName>
    <definedName name="SCHNMBR" localSheetId="29">#REF!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#REF!</definedName>
    <definedName name="SCHNME" localSheetId="30">#REF!</definedName>
    <definedName name="SCHNME" localSheetId="19">#REF!</definedName>
    <definedName name="SCHNME" localSheetId="23">#REF!</definedName>
    <definedName name="SCHNME" localSheetId="4">#REF!</definedName>
    <definedName name="SCHNME" localSheetId="29">#REF!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#REF!</definedName>
    <definedName name="SUPT" localSheetId="30">#REF!</definedName>
    <definedName name="SUPT" localSheetId="19">#REF!</definedName>
    <definedName name="SUPT" localSheetId="23">#REF!</definedName>
    <definedName name="SUPT" localSheetId="4">#REF!</definedName>
    <definedName name="SUPT" localSheetId="29">#REF!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E27" i="108"/>
  <c r="G27" i="108"/>
  <c r="F28" i="108"/>
  <c r="F31" i="108"/>
  <c r="F36" i="108"/>
  <c r="G28" i="108"/>
  <c r="E29" i="108"/>
  <c r="G29" i="108"/>
  <c r="G30" i="108"/>
  <c r="D31" i="108"/>
  <c r="D36"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E4" i="4"/>
  <c r="B2630" i="106" s="1"/>
  <c r="D2630" i="106" s="1"/>
  <c r="D5" i="4"/>
  <c r="B3406" i="106" s="1"/>
  <c r="D3406" i="106" s="1"/>
  <c r="G14" i="4"/>
  <c r="B2609" i="106" s="1"/>
  <c r="D2609"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5" i="7"/>
  <c r="B1761" i="106" s="1"/>
  <c r="D1761" i="106" s="1"/>
  <c r="D13" i="7"/>
  <c r="B3726" i="106" s="1"/>
  <c r="D3726" i="106" s="1"/>
  <c r="D9" i="7"/>
  <c r="B1767" i="106" s="1"/>
  <c r="D1767" i="106" s="1"/>
  <c r="F131" i="34"/>
  <c r="F128" i="34"/>
  <c r="F111" i="34"/>
  <c r="B5752" i="106"/>
  <c r="D5752" i="106" s="1"/>
  <c r="G4" i="4"/>
  <c r="B2603" i="106" s="1"/>
  <c r="D2603" i="106" s="1"/>
  <c r="H173" i="5"/>
  <c r="B5906" i="106" s="1"/>
  <c r="D5906" i="106" s="1"/>
  <c r="H109" i="5"/>
  <c r="B6025" i="106" s="1"/>
  <c r="D6025" i="106" s="1"/>
  <c r="F106" i="34"/>
  <c r="D7" i="7"/>
  <c r="B1763" i="106" s="1"/>
  <c r="D1763" i="106" s="1"/>
  <c r="H4" i="4"/>
  <c r="B2655" i="106" s="1"/>
  <c r="D2655" i="106" s="1"/>
  <c r="H6" i="4"/>
  <c r="B2656" i="106" s="1"/>
  <c r="D2656"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B3565" i="106"/>
  <c r="D3565" i="106" s="1"/>
  <c r="K41" i="3"/>
  <c r="H44" i="4"/>
  <c r="B6289" i="106"/>
  <c r="D6289" i="106" s="1"/>
  <c r="F21" i="8"/>
  <c r="B3689" i="106"/>
  <c r="D3689" i="106" s="1"/>
  <c r="E14" i="145"/>
  <c r="G14" i="145" s="1"/>
  <c r="B1124" i="106"/>
  <c r="D1124" i="106" s="1"/>
  <c r="D109" i="5"/>
  <c r="C172" i="5"/>
  <c r="B5214" i="106" s="1"/>
  <c r="D5214" i="106" s="1"/>
  <c r="K274" i="5"/>
  <c r="F127" i="34"/>
  <c r="F130" i="34"/>
  <c r="D4" i="7"/>
  <c r="B1760" i="106" s="1"/>
  <c r="D1760" i="106" s="1"/>
  <c r="G5" i="4"/>
  <c r="B3409" i="106" s="1"/>
  <c r="D3409" i="106" s="1"/>
  <c r="J274" i="5"/>
  <c r="B7054" i="106" s="1"/>
  <c r="D7054" i="106" s="1"/>
  <c r="B5096" i="106"/>
  <c r="D5096" i="106" s="1"/>
  <c r="L367" i="29"/>
  <c r="F19" i="7"/>
  <c r="B1807" i="106" s="1"/>
  <c r="D1807" i="106" s="1"/>
  <c r="F72" i="34"/>
  <c r="F50" i="34"/>
  <c r="F46" i="34"/>
  <c r="F44" i="34"/>
  <c r="F41" i="34"/>
  <c r="F35" i="34"/>
  <c r="G38" i="108"/>
  <c r="D37" i="108"/>
  <c r="E30" i="108"/>
  <c r="F37" i="108"/>
  <c r="E28" i="108"/>
  <c r="B7235" i="106"/>
  <c r="D7235" i="106" s="1"/>
  <c r="H367" i="29"/>
  <c r="B3647" i="106"/>
  <c r="D3647" i="106" s="1"/>
  <c r="G352" i="29"/>
  <c r="B3619" i="106"/>
  <c r="D3619" i="106" s="1"/>
  <c r="C352" i="29"/>
  <c r="B3454" i="106"/>
  <c r="D3454" i="106" s="1"/>
  <c r="L15" i="11"/>
  <c r="B3459" i="106" s="1"/>
  <c r="D3459" i="106" s="1"/>
  <c r="F77" i="4"/>
  <c r="B3255" i="106" s="1"/>
  <c r="D3255" i="106" s="1"/>
  <c r="B3170" i="106"/>
  <c r="D3170" i="106" s="1"/>
  <c r="H76" i="4"/>
  <c r="B3298" i="106" s="1"/>
  <c r="D3298" i="106" s="1"/>
  <c r="I24" i="12"/>
  <c r="B1364" i="106"/>
  <c r="D1364" i="106" s="1"/>
  <c r="G210" i="29"/>
  <c r="K285" i="29"/>
  <c r="B1410" i="106"/>
  <c r="D1410" i="106" s="1"/>
  <c r="B1329" i="106"/>
  <c r="D1329" i="106" s="1"/>
  <c r="F61" i="34"/>
  <c r="D54" i="36"/>
  <c r="L13" i="11"/>
  <c r="B2060" i="106" s="1"/>
  <c r="D2060" i="106" s="1"/>
  <c r="F27" i="108"/>
  <c r="F41" i="108" s="1"/>
  <c r="G43" i="108" s="1"/>
  <c r="F136" i="34"/>
  <c r="C173" i="5"/>
  <c r="B5223" i="106" s="1"/>
  <c r="D5223"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60" i="106"/>
  <c r="D366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F275" i="5"/>
  <c r="J7" i="4"/>
  <c r="H8" i="4"/>
  <c r="B3447" i="106"/>
  <c r="D3447" i="106" s="1"/>
  <c r="B7270" i="106"/>
  <c r="B1365" i="106" l="1"/>
  <c r="D1365" i="106" s="1"/>
  <c r="F65" i="34"/>
  <c r="B1996" i="106"/>
  <c r="D1996" i="106" s="1"/>
  <c r="I26" i="12"/>
  <c r="B7741" i="106" s="1"/>
  <c r="D7741" i="106" s="1"/>
  <c r="B3621" i="106"/>
  <c r="D3621" i="106" s="1"/>
  <c r="C367" i="29"/>
  <c r="B3622" i="106" s="1"/>
  <c r="D3622" i="106" s="1"/>
  <c r="B3649" i="106"/>
  <c r="D3649" i="106" s="1"/>
  <c r="G367" i="29"/>
  <c r="B3650" i="106" s="1"/>
  <c r="D3650" i="106" s="1"/>
  <c r="B3568" i="106"/>
  <c r="D3568" i="106" s="1"/>
  <c r="D52" i="36"/>
  <c r="D19" i="7"/>
  <c r="B1775" i="106" s="1"/>
  <c r="D1775" i="106" s="1"/>
  <c r="D274" i="5"/>
  <c r="D7" i="4" s="1"/>
  <c r="H275" i="5"/>
  <c r="B3628" i="106"/>
  <c r="D3628" i="106" s="1"/>
  <c r="D7254" i="106"/>
  <c r="D7256" i="106"/>
  <c r="D7251" i="106"/>
  <c r="D7250" i="106"/>
  <c r="C6" i="4"/>
  <c r="B2553" i="106" s="1"/>
  <c r="D2553" i="106" s="1"/>
  <c r="F73" i="34"/>
  <c r="G15" i="4"/>
  <c r="B6032" i="106" s="1"/>
  <c r="D6032" i="106" s="1"/>
  <c r="B5356" i="106"/>
  <c r="D5356" i="106" s="1"/>
  <c r="D4" i="4"/>
  <c r="B2564" i="106" s="1"/>
  <c r="D2564" i="106" s="1"/>
  <c r="B1879" i="106"/>
  <c r="D1879" i="106" s="1"/>
  <c r="H22" i="37"/>
  <c r="L114" i="29"/>
  <c r="L16" i="11"/>
  <c r="B2061" i="106" s="1"/>
  <c r="D2061"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275" i="5"/>
  <c r="B7298" i="106"/>
  <c r="B7299" i="106"/>
  <c r="B5507" i="106" l="1"/>
  <c r="D5507"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<sst xmlns="http://schemas.openxmlformats.org/spreadsheetml/2006/main" count="5019" uniqueCount="2096">
  <si>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</si>
  <si>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</si>
  <si>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</si>
  <si>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</si>
  <si>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</si>
  <si>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</si>
  <si>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</si>
  <si>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</si>
  <si>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</si>
  <si>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</si>
  <si>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</si>
  <si>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</si>
  <si>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</si>
  <si>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</si>
  <si>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</si>
  <si>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</si>
  <si>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</si>
  <si>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</si>
  <si>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</si>
  <si>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</si>
  <si>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</si>
  <si>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</si>
  <si>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</si>
  <si>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</si>
  <si>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</si>
  <si>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</si>
  <si>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</si>
  <si>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</si>
  <si>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</si>
  <si>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</si>
  <si>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</si>
  <si>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</si>
  <si>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</si>
  <si>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</si>
  <si>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</si>
  <si>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</si>
  <si>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</si>
  <si>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</si>
  <si>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</si>
  <si>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</si>
  <si>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</si>
  <si>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</si>
  <si>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</si>
  <si>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</si>
  <si>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</si>
  <si>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</si>
  <si>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</si>
  <si>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</si>
  <si>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</si>
  <si>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</si>
  <si>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</si>
  <si>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</si>
  <si>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</si>
  <si>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</si>
  <si>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</si>
  <si>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</si>
  <si>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</si>
  <si>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</si>
  <si>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</si>
  <si>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</si>
  <si>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</si>
  <si>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</si>
  <si>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</si>
  <si>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</si>
  <si>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</si>
  <si>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</si>
  <si>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</si>
  <si>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</si>
  <si>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</si>
  <si>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</si>
  <si>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</si>
  <si>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</si>
  <si>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</si>
  <si>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</si>
  <si>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</si>
  <si>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</si>
  <si>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</si>
  <si>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</si>
  <si>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</si>
  <si>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</si>
  <si>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</si>
  <si>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</si>
  <si>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</si>
  <si>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</si>
  <si>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</si>
  <si>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</si>
  <si>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</si>
  <si>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</si>
  <si>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</si>
  <si>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</si>
  <si>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</si>
  <si>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</si>
  <si>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</si>
  <si>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</si>
  <si>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</si>
  <si>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</si>
  <si>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</si>
  <si>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</si>
  <si>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</si>
  <si>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</si>
  <si>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</si>
  <si>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</si>
  <si>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</si>
  <si>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</si>
  <si>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</si>
  <si>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</si>
  <si>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</si>
  <si>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</si>
  <si>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</si>
  <si>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</si>
  <si>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</si>
  <si>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</si>
  <si>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</si>
  <si>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</si>
  <si>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</si>
  <si>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</si>
  <si>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</si>
  <si>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</si>
  <si>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</si>
  <si>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</si>
  <si>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</si>
  <si>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</si>
  <si>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</si>
  <si>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</si>
  <si>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</si>
  <si>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</si>
  <si>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</si>
  <si>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</si>
  <si>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</si>
  <si>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</si>
  <si>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</si>
  <si>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</si>
  <si>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</si>
  <si>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</si>
  <si>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</si>
  <si>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</si>
  <si>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</si>
  <si>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</si>
  <si>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</si>
  <si>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</si>
  <si>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</si>
  <si>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</si>
  <si>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</si>
  <si>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</si>
  <si>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</si>
  <si>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</si>
  <si>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</si>
  <si>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</si>
  <si>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</si>
  <si>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</si>
  <si>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</si>
  <si>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</si>
  <si>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</si>
  <si>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</si>
  <si>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</si>
  <si>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</si>
  <si>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</si>
  <si>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</si>
  <si>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</si>
  <si>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</si>
  <si>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</si>
  <si>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</si>
  <si>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</si>
  <si>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</si>
  <si>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</si>
  <si>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</si>
  <si>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</si>
  <si>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</si>
  <si>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</si>
  <si>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</si>
  <si>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</si>
  <si>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</si>
  <si>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</si>
  <si>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</si>
  <si>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</si>
  <si>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</si>
  <si>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</si>
  <si>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</si>
  <si>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</si>
  <si>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</si>
  <si>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</si>
  <si>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</si>
  <si>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</si>
  <si>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</si>
  <si>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</si>
  <si>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</si>
  <si>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</si>
  <si>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</si>
  <si>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</si>
  <si>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</si>
  <si>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</si>
  <si>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</si>
  <si>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</si>
  <si>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</si>
  <si>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</si>
  <si>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</si>
  <si>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</si>
  <si>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</si>
  <si>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</si>
  <si>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</si>
  <si>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</si>
  <si>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</si>
  <si>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</si>
  <si>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</si>
  <si>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</si>
  <si>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</si>
  <si>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</si>
  <si>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</si>
  <si>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</si>
  <si>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</si>
  <si>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</si>
  <si>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</si>
  <si>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</si>
  <si>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</si>
  <si>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</si>
  <si>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</si>
  <si>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</si>
  <si>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</si>
  <si>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</si>
  <si>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</si>
  <si>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</si>
  <si>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</si>
  <si>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</si>
  <si>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</si>
  <si>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</si>
  <si>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</si>
  <si>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</si>
  <si>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</si>
  <si>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</si>
  <si>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</si>
  <si>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</si>
  <si>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</si>
  <si>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</si>
  <si>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</si>
  <si>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</si>
  <si>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</si>
  <si>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</si>
  <si>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</si>
  <si>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</si>
  <si>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</si>
  <si>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</si>
  <si>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</si>
  <si>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</si>
  <si>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</si>
  <si>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</si>
  <si>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</si>
  <si>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</si>
  <si>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</si>
  <si>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</si>
  <si>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</si>
  <si>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</si>
  <si>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</si>
  <si>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</si>
  <si>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</si>
  <si>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</si>
  <si>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</si>
  <si>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</si>
  <si>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</si>
  <si>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</si>
  <si>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</si>
  <si>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</si>
  <si>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</si>
  <si>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</si>
  <si>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</si>
  <si>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</si>
  <si>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</si>
  <si>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</si>
  <si>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</si>
  <si>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</si>
  <si>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</si>
  <si>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</si>
  <si>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</si>
  <si>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</si>
  <si>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</si>
  <si>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</si>
  <si>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</si>
  <si>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</si>
  <si>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</si>
  <si>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</si>
  <si>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</si>
  <si>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</si>
  <si>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</si>
  <si>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</si>
  <si>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</si>
  <si>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</si>
  <si>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</si>
  <si>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</si>
  <si>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</si>
  <si>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</si>
  <si>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</si>
  <si>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</si>
  <si>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</si>
  <si>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</si>
  <si>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</si>
  <si>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</si>
  <si>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</si>
  <si>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</si>
  <si>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</si>
  <si>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</si>
  <si>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</si>
  <si>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</si>
  <si>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</si>
  <si>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</si>
  <si>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</si>
  <si>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</si>
  <si>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</si>
  <si>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</si>
  <si>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</si>
  <si>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</si>
  <si>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</si>
  <si>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</si>
  <si>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</si>
  <si>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</si>
  <si>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</si>
  <si>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</si>
  <si>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</si>
  <si>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</si>
  <si>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</si>
  <si>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</si>
  <si>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</si>
  <si>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</si>
  <si>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</si>
  <si>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</si>
  <si>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</si>
  <si>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</si>
  <si>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</si>
  <si>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</si>
  <si>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</si>
  <si>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</si>
  <si>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</si>
  <si>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</si>
  <si>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</si>
  <si>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</si>
  <si>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</si>
  <si>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</si>
  <si>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</si>
  <si>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</si>
  <si>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</si>
  <si>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</si>
  <si>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</si>
  <si>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</si>
  <si>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</si>
  <si>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</si>
  <si>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</si>
  <si>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</si>
  <si>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</si>
  <si>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</si>
  <si>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</si>
  <si>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</si>
  <si>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</si>
  <si>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</si>
  <si>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</si>
  <si>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</si>
  <si>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</si>
  <si>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</si>
  <si>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</si>
  <si>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</si>
  <si>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</si>
  <si>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</si>
  <si>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</si>
  <si>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</si>
  <si>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</si>
  <si>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</si>
  <si>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</si>
  <si>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</si>
  <si>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</si>
  <si>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</si>
  <si>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</si>
  <si>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</si>
  <si>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</si>
  <si>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</si>
  <si>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</si>
  <si>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</si>
  <si>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</si>
  <si>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</si>
  <si>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</si>
  <si>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</si>
  <si>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</si>
  <si>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</si>
  <si>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</si>
  <si>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</si>
  <si>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</si>
  <si>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</si>
  <si>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</si>
  <si>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</si>
  <si>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</si>
  <si>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</si>
  <si>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</si>
  <si>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</si>
  <si>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</si>
  <si>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</si>
  <si>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</si>
  <si>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</si>
  <si>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</si>
  <si>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</si>
  <si>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</si>
  <si>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</si>
  <si>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</si>
  <si>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</si>
  <si>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</si>
  <si>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</si>
  <si>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</si>
  <si>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</si>
  <si>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</si>
  <si>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</si>
  <si>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</si>
  <si>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</si>
  <si>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</si>
  <si>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</si>
  <si>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</si>
  <si>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</si>
  <si>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</si>
  <si>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</si>
  <si>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</si>
  <si>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</si>
  <si>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</si>
  <si>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</si>
  <si>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</si>
  <si>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</si>
  <si>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</si>
  <si>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</si>
  <si>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</si>
  <si>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</si>
  <si>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</si>
  <si>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</si>
  <si>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</si>
  <si>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</si>
  <si>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</si>
  <si>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</si>
  <si>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</si>
  <si>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</si>
  <si>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</si>
  <si>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</si>
  <si>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</si>
  <si>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</si>
  <si>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</si>
  <si>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</si>
  <si>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</si>
  <si>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</si>
  <si>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</si>
  <si>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</si>
  <si>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</si>
  <si>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</si>
  <si>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</si>
  <si>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</si>
  <si>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</si>
  <si>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</si>
  <si>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</si>
  <si>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</si>
  <si>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</si>
  <si>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</si>
  <si>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</si>
  <si>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</si>
  <si>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</si>
  <si>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</si>
  <si>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</si>
  <si>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</si>
  <si>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</si>
  <si>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</si>
  <si>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</si>
  <si>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</si>
  <si>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</si>
  <si>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</si>
  <si>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</si>
  <si>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</si>
  <si>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</si>
  <si>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</si>
  <si>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</si>
  <si>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</si>
  <si>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</si>
  <si>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</si>
  <si>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</si>
  <si>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</si>
  <si>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</si>
  <si>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</si>
  <si>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</si>
  <si>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</si>
  <si>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</si>
  <si>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</si>
  <si>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</si>
  <si>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</si>
  <si>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</si>
  <si>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</si>
  <si>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</si>
  <si>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</si>
  <si>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</si>
  <si>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</si>
  <si>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</si>
  <si>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</si>
  <si>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</si>
  <si>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</si>
  <si>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</si>
  <si>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</si>
  <si>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</si>
  <si>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</si>
  <si>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</si>
  <si>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</si>
  <si>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</si>
  <si>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</si>
  <si>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</si>
  <si>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</si>
  <si>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</si>
  <si>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</si>
  <si>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</si>
  <si>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</si>
  <si>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</si>
  <si>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</si>
  <si>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</si>
  <si>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</si>
  <si>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</si>
  <si>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</si>
  <si>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</si>
  <si>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</si>
  <si>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</si>
  <si>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</si>
  <si>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</si>
  <si>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</si>
  <si>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</si>
  <si>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</si>
  <si>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</si>
  <si>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</si>
  <si>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</si>
  <si>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</si>
  <si>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</si>
  <si>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</si>
  <si>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</si>
  <si>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</si>
  <si>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</si>
  <si>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</si>
  <si>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</si>
  <si>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</si>
  <si>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</si>
  <si>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</si>
  <si>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</si>
  <si>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</si>
  <si>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</si>
  <si>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</si>
  <si>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</si>
  <si>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</si>
  <si>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</si>
  <si>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</si>
  <si>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</si>
  <si>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</si>
  <si>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</si>
  <si>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</si>
  <si>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</si>
  <si>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</si>
  <si>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</si>
  <si>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</si>
  <si>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</si>
  <si>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</si>
  <si>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</si>
  <si>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</si>
  <si>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</si>
  <si>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</si>
  <si>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</si>
  <si>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</si>
  <si>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</si>
  <si>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</si>
  <si>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</si>
  <si>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</si>
  <si>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</si>
  <si>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</si>
  <si>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</si>
  <si>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</si>
  <si>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</si>
  <si>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</si>
  <si>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</si>
  <si>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</si>
  <si>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</si>
  <si>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</si>
  <si>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</si>
  <si>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</si>
  <si>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</si>
  <si>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</si>
  <si>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</si>
  <si>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</si>
  <si>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</si>
  <si>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</si>
  <si>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</si>
  <si>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</si>
  <si>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</si>
  <si>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</si>
  <si>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</si>
  <si>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</si>
  <si>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</si>
  <si>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</si>
  <si>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</si>
  <si>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</si>
  <si>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</si>
  <si>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</si>
  <si>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</si>
  <si>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</si>
  <si>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</si>
  <si>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</si>
  <si>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</si>
  <si>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</si>
  <si>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</si>
  <si>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</si>
  <si>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</si>
  <si>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</si>
  <si>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</si>
  <si>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</si>
  <si>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</si>
  <si>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</si>
  <si>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</si>
  <si>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</si>
  <si>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</si>
  <si>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</si>
  <si>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</si>
  <si>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</si>
  <si>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</si>
  <si>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</si>
  <si>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</si>
  <si>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</si>
  <si>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</si>
  <si>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</si>
  <si>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</si>
  <si>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</si>
  <si>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</si>
  <si>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</si>
  <si>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</si>
  <si>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</si>
  <si>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</si>
  <si>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</si>
  <si>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</si>
  <si>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</si>
  <si>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</si>
  <si>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</si>
  <si>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</si>
  <si>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</si>
  <si>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</si>
  <si>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</si>
  <si>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</si>
  <si>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</si>
  <si>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</si>
  <si>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</si>
  <si>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</si>
  <si>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</si>
  <si>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</si>
  <si>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</si>
  <si>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</si>
  <si>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</si>
  <si>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</si>
  <si>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</si>
  <si>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</si>
  <si>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</si>
  <si>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</si>
  <si>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</si>
  <si>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</si>
  <si>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</si>
  <si>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</si>
  <si>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</si>
  <si>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</si>
  <si>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</si>
  <si>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</si>
  <si>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</si>
  <si>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</si>
  <si>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</si>
  <si>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</si>
  <si>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</si>
  <si>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</si>
  <si>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</si>
  <si>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</si>
  <si>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</si>
  <si>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</si>
  <si>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</si>
  <si>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</si>
  <si>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</si>
  <si>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</si>
  <si>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</si>
  <si>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</si>
  <si>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</si>
  <si>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</si>
  <si>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</si>
  <si>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</si>
  <si>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</si>
  <si>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</si>
  <si>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</si>
  <si>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</si>
  <si>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</si>
  <si>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</si>
  <si>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</si>
  <si>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</si>
  <si>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</si>
  <si>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</si>
  <si>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</si>
  <si>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</si>
  <si>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</si>
  <si>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</si>
  <si>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</si>
  <si>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</si>
  <si>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</si>
  <si>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</si>
  <si>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</si>
  <si>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</si>
  <si>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</si>
  <si>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</si>
  <si>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</si>
  <si>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</si>
  <si>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</si>
  <si>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</si>
  <si>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</si>
  <si>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</si>
  <si>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</si>
  <si>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</si>
  <si>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</si>
  <si>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</si>
  <si>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</si>
  <si>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</si>
  <si>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</si>
  <si>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</si>
  <si>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</si>
  <si>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</si>
  <si>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</si>
  <si>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</si>
  <si>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</si>
  <si>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</si>
  <si>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</si>
  <si>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</si>
  <si>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</si>
  <si>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</si>
  <si>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</si>
  <si>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</si>
  <si>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</si>
  <si>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</si>
  <si>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</si>
  <si>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</si>
  <si>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</si>
  <si>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</si>
  <si>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</si>
  <si>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</si>
  <si>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</si>
  <si>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</si>
  <si>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</si>
  <si>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</si>
  <si>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</si>
  <si>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</si>
  <si>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</si>
  <si>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</si>
  <si>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</si>
  <si>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</si>
  <si>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</si>
  <si>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</si>
  <si>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</si>
  <si>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</si>
  <si>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</si>
  <si>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</si>
  <si>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</si>
  <si>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</si>
  <si>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</si>
  <si>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</si>
  <si>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</si>
  <si>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</si>
  <si>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</si>
  <si>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</si>
  <si>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</si>
  <si>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</si>
  <si>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</si>
  <si>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</si>
  <si>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</si>
  <si>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</si>
  <si>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</si>
  <si>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</si>
  <si>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</si>
  <si>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</si>
  <si>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</si>
  <si>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</si>
  <si>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</si>
  <si>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</si>
  <si>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</si>
  <si>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</si>
  <si>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</si>
  <si>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</si>
  <si>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</si>
  <si>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</si>
  <si>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</si>
  <si>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</si>
  <si>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</si>
  <si>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</si>
  <si>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</si>
  <si>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</si>
  <si>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</si>
  <si>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</si>
  <si>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</si>
  <si>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</si>
  <si>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</si>
  <si>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</si>
  <si>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</si>
  <si>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</si>
  <si>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</si>
  <si>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</si>
  <si>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</si>
  <si>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</si>
  <si>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</si>
  <si>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</si>
  <si>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</si>
  <si>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</si>
  <si>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</si>
  <si>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</si>
  <si>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</si>
  <si>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</si>
  <si>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</si>
  <si>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</si>
  <si>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</si>
  <si>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</si>
  <si>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</si>
  <si>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</si>
  <si>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</si>
  <si>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</si>
  <si>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</si>
  <si>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</si>
  <si>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</si>
  <si>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</si>
  <si>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</si>
  <si>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</si>
  <si>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</si>
  <si>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</si>
  <si>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</si>
  <si>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</si>
  <si>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</si>
  <si>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</si>
  <si>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</si>
  <si>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</si>
  <si>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</si>
  <si>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</si>
  <si>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</si>
  <si>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</si>
  <si>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</si>
  <si>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</si>
  <si>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</si>
  <si>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</si>
  <si>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</si>
  <si>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</si>
  <si>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</si>
  <si>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</si>
  <si>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</si>
  <si>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</si>
  <si>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</si>
  <si>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</si>
  <si>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</si>
  <si>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</si>
  <si>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</si>
  <si>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</si>
  <si>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</si>
  <si>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</si>
  <si>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</si>
  <si>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</si>
  <si>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</si>
  <si>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</si>
  <si>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</si>
  <si>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</si>
  <si>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</si>
  <si>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</si>
  <si>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</si>
  <si>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</si>
  <si>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</si>
  <si>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</si>
  <si>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</si>
  <si>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</si>
  <si>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</si>
  <si>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</si>
  <si>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</si>
  <si>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</si>
  <si>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</si>
  <si>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</si>
  <si>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</si>
  <si>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</si>
  <si>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</si>
  <si>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</si>
  <si>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</si>
  <si>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</si>
  <si>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</si>
  <si>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</si>
  <si>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</si>
  <si>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</si>
  <si>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</si>
  <si>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</si>
  <si>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</si>
  <si>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</si>
  <si>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</si>
  <si>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</si>
  <si>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</si>
  <si>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</si>
  <si>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</si>
  <si>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</si>
  <si>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</si>
  <si>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</si>
  <si>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</si>
  <si>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</si>
  <si>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</si>
  <si>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</si>
  <si>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</si>
  <si>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</si>
  <si>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</si>
  <si>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</si>
  <si>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</si>
  <si>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</si>
  <si>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</si>
  <si>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</si>
  <si>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</si>
  <si>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</si>
  <si>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</si>
  <si>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</si>
  <si>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</si>
  <si>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</si>
  <si>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</si>
  <si>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</si>
  <si>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</si>
  <si>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</si>
  <si>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</si>
  <si>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</si>
  <si>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</si>
  <si>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</si>
  <si>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</si>
  <si>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</si>
  <si>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</si>
  <si>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</si>
  <si>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</si>
  <si>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</si>
  <si>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</si>
  <si>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</si>
  <si>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</si>
  <si>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</si>
  <si>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</si>
  <si>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</si>
  <si>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</si>
  <si>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</si>
  <si>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</si>
  <si>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</si>
  <si>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</si>
  <si>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</si>
  <si>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</si>
  <si>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</si>
  <si>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</si>
  <si>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</si>
  <si>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</si>
  <si>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</si>
  <si>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</si>
  <si>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</si>
  <si>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</si>
  <si>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</si>
  <si>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</si>
  <si>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</si>
  <si>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</si>
  <si>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</si>
  <si>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</si>
  <si>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</si>
  <si>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</si>
  <si>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</si>
  <si>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</si>
  <si>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</si>
  <si>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</si>
  <si>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</si>
  <si>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</si>
  <si>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</si>
  <si>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</si>
  <si>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</si>
  <si>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</si>
  <si>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</si>
  <si>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</si>
  <si>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</si>
  <si>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</si>
  <si>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</si>
  <si>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</si>
  <si>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</si>
  <si>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</si>
  <si>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</si>
  <si>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</si>
  <si>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</si>
  <si>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</si>
  <si>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</si>
  <si>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</si>
  <si>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</si>
  <si>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</si>
  <si>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</si>
  <si>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</si>
  <si>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</si>
  <si>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</si>
  <si>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</si>
  <si>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</si>
  <si>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</si>
  <si>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</si>
  <si>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</si>
  <si>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</si>
  <si>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</si>
  <si>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</si>
  <si>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</si>
  <si>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</si>
  <si>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</si>
  <si>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</si>
  <si>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</si>
  <si>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</si>
  <si>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</si>
  <si>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</si>
  <si>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</si>
  <si>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</si>
  <si>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</si>
  <si>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</si>
  <si>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</si>
  <si>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</si>
  <si>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</si>
  <si>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</si>
  <si>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</si>
  <si>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</si>
  <si>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</si>
  <si>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</si>
  <si>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</si>
  <si>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</si>
  <si>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</si>
  <si>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</si>
  <si>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</si>
  <si>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</si>
  <si>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</si>
  <si>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</si>
  <si>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</si>
  <si>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</si>
  <si>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</si>
  <si>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</si>
  <si>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</si>
  <si>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</si>
  <si>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</si>
  <si>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</si>
  <si>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</si>
  <si>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</si>
  <si>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</si>
  <si>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</si>
  <si>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</si>
  <si>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</si>
  <si>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</si>
  <si>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</si>
  <si>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</si>
  <si>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</si>
  <si>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</si>
  <si>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</si>
  <si>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</si>
  <si>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</si>
  <si>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</si>
  <si>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</si>
  <si>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</si>
  <si>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</si>
  <si>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</si>
  <si>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</si>
  <si>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</si>
  <si>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</si>
  <si>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</si>
  <si>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</si>
  <si>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</si>
  <si>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</si>
  <si>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</si>
  <si>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</si>
  <si>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</si>
  <si>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</si>
  <si>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</si>
  <si>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</si>
  <si>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</si>
  <si>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</si>
  <si>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</si>
  <si>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</si>
  <si>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</si>
  <si>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</si>
  <si>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</si>
  <si>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</si>
  <si>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</si>
  <si>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</si>
  <si>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</si>
  <si>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</si>
  <si>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</si>
  <si>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</si>
  <si>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</si>
  <si>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</si>
  <si>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</si>
  <si>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</si>
  <si>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</si>
  <si>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</si>
  <si>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</si>
  <si>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</si>
  <si>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</si>
  <si>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</si>
  <si>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</si>
  <si>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</si>
  <si>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</si>
  <si>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</si>
  <si>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</si>
  <si>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</si>
  <si>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</si>
  <si>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</si>
  <si>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</si>
  <si>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</si>
  <si>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</si>
  <si>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</si>
  <si>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</si>
  <si>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</si>
  <si>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</si>
  <si>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</si>
  <si>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</si>
  <si>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</si>
  <si>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</si>
  <si>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</si>
  <si>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</si>
  <si>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</si>
  <si>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</si>
  <si>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</si>
  <si>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</si>
  <si>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</si>
  <si>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</si>
  <si>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</si>
  <si>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</si>
  <si>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</si>
  <si>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</si>
  <si>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</si>
  <si>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</si>
  <si>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</si>
  <si>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</si>
  <si>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</si>
  <si>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</si>
  <si>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</si>
  <si>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</si>
  <si>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</si>
  <si>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</si>
  <si>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</si>
  <si>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</si>
  <si>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</si>
  <si>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</si>
  <si>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</si>
  <si>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</si>
  <si>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</si>
  <si>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</si>
  <si>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</si>
  <si>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</si>
  <si>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</si>
  <si>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</si>
  <si>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</si>
  <si>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</si>
  <si>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</si>
  <si>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</si>
  <si>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</si>
  <si>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</si>
  <si>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</si>
  <si>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</si>
  <si>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</si>
  <si>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</si>
  <si>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</si>
  <si>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</si>
  <si>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</si>
  <si>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</si>
  <si>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</si>
  <si>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</si>
  <si>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</si>
  <si>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</si>
  <si>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</si>
  <si>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</si>
  <si>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</si>
  <si>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</si>
  <si>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</si>
  <si>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</si>
  <si>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</si>
  <si>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</si>
  <si>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</si>
  <si>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</si>
  <si>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</si>
  <si>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</si>
  <si>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</si>
  <si>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</si>
  <si>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</si>
  <si>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</si>
  <si>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</si>
  <si>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</si>
  <si>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</si>
  <si>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</si>
  <si>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</si>
  <si>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</si>
  <si>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</si>
  <si>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</si>
  <si>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</si>
  <si>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</si>
  <si>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</si>
  <si>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</si>
  <si>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</si>
  <si>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</si>
  <si>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</si>
  <si>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</si>
  <si>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</si>
  <si>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</si>
  <si>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</si>
  <si>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</si>
  <si>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</si>
  <si>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</si>
  <si>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</si>
  <si>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</si>
  <si>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</si>
  <si>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</si>
  <si>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</si>
  <si>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</si>
  <si>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</si>
  <si>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</si>
  <si>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</si>
  <si>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</si>
  <si>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</si>
  <si>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</si>
  <si>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</si>
  <si>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</si>
  <si>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</si>
  <si>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</si>
  <si>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</si>
  <si>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</si>
  <si>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</si>
  <si>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</si>
  <si>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</si>
  <si>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</si>
  <si>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</si>
  <si>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</si>
  <si>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</si>
  <si>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</si>
  <si>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</si>
  <si>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</si>
  <si>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</si>
  <si>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</si>
  <si>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</si>
  <si>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</si>
  <si>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</si>
  <si>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</si>
  <si>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</si>
  <si>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</si>
  <si>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</si>
  <si>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</si>
  <si>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</si>
  <si>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</si>
  <si>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</si>
  <si>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</si>
  <si>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</si>
  <si>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</si>
  <si>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</si>
  <si>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</si>
  <si>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</si>
  <si>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</si>
  <si>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</si>
  <si>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</si>
  <si>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</si>
  <si>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</si>
  <si>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</si>
  <si>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</si>
  <si>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</si>
  <si>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</si>
  <si>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</si>
  <si>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</si>
  <si>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</si>
  <si>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</si>
  <si>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</si>
  <si>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</si>
  <si>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</si>
  <si>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</si>
  <si>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</si>
  <si>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</si>
  <si>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</si>
  <si>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</si>
  <si>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</si>
  <si>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</si>
  <si>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</si>
  <si>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</si>
  <si>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</si>
  <si>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</si>
  <si>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</si>
  <si>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</si>
  <si>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</si>
  <si>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</si>
  <si>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</si>
  <si>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</si>
  <si>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</si>
  <si>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</si>
  <si>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</si>
  <si>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</si>
  <si>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</si>
  <si>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</si>
  <si>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</si>
  <si>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</si>
  <si>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</si>
  <si>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</si>
  <si>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</si>
  <si>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</si>
  <si>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</si>
  <si>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</si>
  <si>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</si>
  <si>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</si>
  <si>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</si>
  <si>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</si>
  <si>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</si>
  <si>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</si>
  <si>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</si>
  <si>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</si>
  <si>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</si>
  <si>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</si>
  <si>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</si>
  <si>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</si>
  <si>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</si>
  <si>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</si>
  <si>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</si>
  <si>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</si>
  <si>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</si>
  <si>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</si>
  <si>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</si>
  <si>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</si>
  <si>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</si>
  <si>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</si>
  <si>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</si>
  <si>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</si>
  <si>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</si>
  <si>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</si>
  <si>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</si>
  <si>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</si>
  <si>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</si>
  <si>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</si>
  <si>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</si>
  <si>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</si>
  <si>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</si>
  <si>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</si>
  <si>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</si>
  <si>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</si>
  <si>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</si>
  <si>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</si>
  <si>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</si>
  <si>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</si>
  <si>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</si>
  <si>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</si>
  <si>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</si>
  <si>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</si>
  <si>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</si>
  <si>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</si>
  <si>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</si>
  <si>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</si>
  <si>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</si>
  <si>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</si>
  <si>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</si>
  <si>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</si>
  <si>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</si>
  <si>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</si>
  <si>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</si>
  <si>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</si>
  <si>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</si>
  <si>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</si>
  <si>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</si>
  <si>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</si>
  <si>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</si>
  <si>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</si>
  <si>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</si>
  <si>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</si>
  <si>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</si>
  <si>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</si>
  <si>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</si>
  <si>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</si>
  <si>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</si>
  <si>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</si>
  <si>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</si>
  <si>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</si>
  <si>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</si>
  <si>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</si>
  <si>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</si>
  <si>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</si>
  <si>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</si>
  <si>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</si>
  <si>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</si>
  <si>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</si>
  <si>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</si>
  <si>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</si>
  <si>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</si>
  <si>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</si>
  <si>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</si>
  <si>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</si>
  <si>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</si>
  <si>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</si>
  <si>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</si>
  <si>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</si>
  <si>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</si>
  <si>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</si>
  <si>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</si>
  <si>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</si>
  <si>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</si>
  <si>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</si>
  <si>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</si>
  <si>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</si>
  <si>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</si>
  <si>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</si>
  <si>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</si>
  <si>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</si>
  <si>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</si>
  <si>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</si>
  <si>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</si>
  <si>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</si>
  <si>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</si>
  <si>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</si>
  <si>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</si>
  <si>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</si>
  <si>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</si>
  <si>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</si>
  <si>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</si>
  <si>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</si>
  <si>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</si>
  <si>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</si>
  <si>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</si>
  <si>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</si>
  <si>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</si>
  <si>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</si>
  <si>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</si>
  <si>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</si>
  <si>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</si>
  <si>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</si>
  <si>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</si>
  <si>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</si>
  <si>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</si>
  <si>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</si>
  <si>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</si>
  <si>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</si>
  <si>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</si>
  <si>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</si>
  <si>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</si>
  <si>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</si>
  <si>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</si>
  <si>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</si>
  <si>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</si>
  <si>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</si>
  <si>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</si>
  <si>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</si>
  <si>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</si>
  <si>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</si>
  <si>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</si>
  <si>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</si>
  <si>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</si>
  <si>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</si>
  <si>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</si>
  <si>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</si>
  <si>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</si>
  <si>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</si>
  <si>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</si>
  <si>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</si>
  <si>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</si>
  <si>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</si>
  <si>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</si>
  <si>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</si>
  <si>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</si>
  <si>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</si>
  <si>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</si>
  <si>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</si>
  <si>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</si>
  <si>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</si>
  <si>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</si>
  <si>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</si>
  <si>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</si>
  <si>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</si>
  <si>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</si>
  <si>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</si>
  <si>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</si>
  <si>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</si>
  <si>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</si>
  <si>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</si>
  <si>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</si>
  <si>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</si>
  <si>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</si>
  <si>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</si>
  <si>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</si>
  <si>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</si>
  <si>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</si>
  <si>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</si>
  <si>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</si>
  <si>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</si>
  <si>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</si>
  <si>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</si>
  <si>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</si>
  <si>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</si>
  <si>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</si>
  <si>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</si>
  <si>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</si>
  <si>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</si>
  <si>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</si>
  <si>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</si>
  <si>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</si>
  <si>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</si>
  <si>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</si>
  <si>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</si>
  <si>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</si>
  <si>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</si>
  <si>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</si>
  <si>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</si>
  <si>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</si>
  <si>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</si>
  <si>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</si>
  <si>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</si>
  <si>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</si>
  <si>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</si>
  <si>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</si>
  <si>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</si>
  <si>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</si>
  <si>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</si>
  <si>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</si>
  <si>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</si>
  <si>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</si>
  <si>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</si>
  <si>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</si>
  <si>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</si>
  <si>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</si>
  <si>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</si>
  <si>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</si>
  <si>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</si>
  <si>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</si>
  <si>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</si>
  <si>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</si>
  <si>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</si>
  <si>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</si>
  <si>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</si>
  <si>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</si>
  <si>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</si>
  <si>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</si>
  <si>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</si>
  <si>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</si>
  <si>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</si>
  <si>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</si>
  <si>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</si>
  <si>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</si>
  <si>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</si>
  <si>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</si>
  <si>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</si>
  <si>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</si>
  <si>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</si>
  <si>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</si>
  <si>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</si>
  <si>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</si>
  <si>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</si>
  <si>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</si>
  <si>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</si>
  <si>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</si>
  <si>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</si>
  <si>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</si>
  <si>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</si>
  <si>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</si>
  <si>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</si>
  <si>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</si>
  <si>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</si>
  <si>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</si>
  <si>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</si>
  <si>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</si>
  <si>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</si>
  <si>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</si>
  <si>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</si>
  <si>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</si>
  <si>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</si>
  <si>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</si>
  <si>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</si>
  <si>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</si>
  <si>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</si>
  <si>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</si>
  <si>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</si>
  <si>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</si>
  <si>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</si>
  <si>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</si>
  <si>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</si>
  <si>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</si>
  <si>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</si>
  <si>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</si>
  <si>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</si>
  <si>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</si>
  <si>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</si>
  <si>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</si>
  <si>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</si>
  <si>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</si>
  <si>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</si>
  <si>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</si>
  <si>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</si>
  <si>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</si>
  <si>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</si>
  <si>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</si>
  <si>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</si>
  <si>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</si>
  <si>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</si>
  <si>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</si>
  <si>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</si>
  <si>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</si>
  <si>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</si>
  <si>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</si>
  <si>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</si>
  <si>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</si>
  <si>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</si>
  <si>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</si>
  <si>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</si>
  <si>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</si>
  <si>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</si>
  <si>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</si>
  <si>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</si>
  <si>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</si>
  <si>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</si>
  <si>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</si>
  <si>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</si>
  <si>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</si>
  <si>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</si>
  <si>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</si>
  <si>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</si>
  <si>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</si>
  <si>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</si>
  <si>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</si>
  <si>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</si>
  <si>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</si>
  <si>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</si>
  <si>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</si>
  <si>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</si>
  <si>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</si>
  <si>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</si>
  <si>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</si>
  <si>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</si>
  <si>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</si>
  <si>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</si>
  <si>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</si>
  <si>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</si>
  <si>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</si>
  <si>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</si>
  <si>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</si>
  <si>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</si>
  <si>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</si>
  <si>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</si>
  <si>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</si>
  <si>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</si>
  <si>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</si>
  <si>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</si>
  <si>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</si>
  <si>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</si>
  <si>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</si>
  <si>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</si>
  <si>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</si>
  <si>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</si>
  <si>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</si>
  <si>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</si>
  <si>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</si>
  <si>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</si>
  <si>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</si>
  <si>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</si>
  <si>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</si>
  <si>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</si>
  <si>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</si>
  <si>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</si>
  <si>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</si>
  <si>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</si>
  <si>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</si>
  <si>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</si>
  <si>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</si>
  <si>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</si>
  <si>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</si>
  <si>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</si>
  <si>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</si>
  <si>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</si>
  <si>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</si>
  <si>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</si>
  <si>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</si>
  <si>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</si>
  <si>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</si>
  <si>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</si>
  <si>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</si>
  <si>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</si>
  <si>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</si>
  <si>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</si>
  <si>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</si>
  <si>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</si>
  <si>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</si>
  <si>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</si>
  <si>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</si>
  <si>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</si>
  <si>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</si>
  <si>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</si>
  <si>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</si>
  <si>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</si>
  <si>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</si>
  <si>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</si>
  <si>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</si>
  <si>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</si>
  <si>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</si>
  <si>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</si>
  <si>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</si>
  <si>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</si>
  <si>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</si>
  <si>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</si>
  <si>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</si>
  <si>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</si>
  <si>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</si>
  <si>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</si>
  <si>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</si>
  <si>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</si>
  <si>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</si>
  <si>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</si>
  <si>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</si>
  <si>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</si>
  <si>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</si>
  <si>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</si>
  <si>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</si>
  <si>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</si>
  <si>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</si>
  <si>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</si>
  <si>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</si>
  <si>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</si>
  <si>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</si>
  <si>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</si>
  <si>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</si>
  <si>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</si>
  <si>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</si>
  <si>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</si>
  <si>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</si>
  <si>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</si>
  <si>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</si>
  <si>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</si>
  <si>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</si>
  <si>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</si>
  <si>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</si>
  <si>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</si>
  <si>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</si>
  <si>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</si>
  <si>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</si>
  <si>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</si>
  <si>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</si>
  <si>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</si>
  <si>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</si>
  <si>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</si>
  <si>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</si>
  <si>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</si>
  <si>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</si>
  <si>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</si>
  <si>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</si>
  <si>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</si>
  <si>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</si>
  <si>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</si>
  <si>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</si>
  <si>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</si>
  <si>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</si>
  <si>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</si>
  <si>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</si>
  <si>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</si>
  <si>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</si>
  <si>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</si>
  <si>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</si>
  <si>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</si>
  <si>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</si>
  <si>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</si>
  <si>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</si>
  <si>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</si>
  <si>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</si>
  <si>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</si>
  <si>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</si>
  <si>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</si>
  <si>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</si>
  <si>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</si>
  <si>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</si>
  <si>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</si>
  <si>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</si>
  <si>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</si>
  <si>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</si>
  <si>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</si>
  <si>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</si>
  <si>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</si>
  <si>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</si>
  <si>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</si>
  <si>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</si>
  <si>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</si>
  <si>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</si>
  <si>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</si>
  <si>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</si>
  <si>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</si>
  <si>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</si>
  <si>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</si>
  <si>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</si>
  <si>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</si>
  <si>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</si>
  <si>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</si>
  <si>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</si>
  <si>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</si>
  <si>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</si>
  <si>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</si>
  <si>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</si>
  <si>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</si>
  <si>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</si>
  <si>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</si>
  <si>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</si>
  <si>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</si>
  <si>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</si>
  <si>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</si>
  <si>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</si>
  <si>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</si>
  <si>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</si>
  <si>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</si>
  <si>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</si>
  <si>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</si>
  <si>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</si>
  <si>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</si>
  <si>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</si>
  <si>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</si>
  <si>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</si>
  <si>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</si>
  <si>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</si>
  <si>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</si>
  <si>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</si>
  <si>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</si>
  <si>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</si>
  <si>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</si>
  <si>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</si>
  <si>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</si>
  <si>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</si>
  <si>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</si>
  <si>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</si>
  <si>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</si>
  <si>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</si>
  <si>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</si>
  <si>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</si>
  <si>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</si>
  <si>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</si>
  <si>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</si>
  <si>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</si>
  <si>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</si>
  <si>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</si>
  <si>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</si>
  <si>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</si>
  <si>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</si>
  <si>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</si>
  <si>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</si>
  <si>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</si>
  <si>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</si>
  <si>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</si>
  <si>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</si>
  <si>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</si>
  <si>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</si>
  <si>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</si>
  <si>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</si>
  <si>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</si>
  <si>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</si>
  <si>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</si>
  <si>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</si>
  <si>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</si>
  <si>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</si>
  <si>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</si>
  <si>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</si>
  <si>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</si>
  <si>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</si>
  <si>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</si>
  <si>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</si>
  <si>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</si>
  <si>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</si>
  <si>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</si>
  <si>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</si>
  <si>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</si>
  <si>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</si>
  <si>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</si>
  <si>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</si>
  <si>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</si>
  <si>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</si>
  <si>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</si>
  <si>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</si>
  <si>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</si>
  <si>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</si>
  <si>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</si>
  <si>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</si>
  <si>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</si>
  <si>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</si>
  <si>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</si>
  <si>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</si>
  <si>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</si>
  <si>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</si>
  <si>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</si>
  <si>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</si>
  <si>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</si>
  <si>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</si>
  <si>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</si>
  <si>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</si>
  <si>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</si>
  <si>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</si>
  <si>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</si>
  <si>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</si>
  <si>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</si>
  <si>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</si>
  <si>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</si>
  <si>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</si>
  <si>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</si>
  <si>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</si>
  <si>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</si>
  <si>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</si>
  <si>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</si>
  <si>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</si>
  <si>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</si>
  <si>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</si>
  <si>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</si>
  <si>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</si>
  <si>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</si>
  <si>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</si>
  <si>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</si>
  <si>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</si>
  <si>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</si>
  <si>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</si>
  <si>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</si>
  <si>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</si>
  <si>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</si>
  <si>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</si>
  <si>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</si>
  <si>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</si>
  <si>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</si>
  <si>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</si>
  <si>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</si>
  <si>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</si>
  <si>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</si>
  <si>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</si>
  <si>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</si>
  <si>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</si>
  <si>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</si>
  <si>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</si>
  <si>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</si>
  <si>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</si>
  <si>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</si>
  <si>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</si>
  <si>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</si>
  <si>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</si>
  <si>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</si>
  <si>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</si>
  <si>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</si>
  <si>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</si>
  <si>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</si>
  <si>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</si>
  <si>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</si>
  <si>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</si>
  <si>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</si>
  <si>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</si>
  <si>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</si>
  <si>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</si>
  <si>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</si>
  <si>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</si>
  <si>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</si>
  <si>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</si>
  <si>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</si>
  <si>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</si>
  <si>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</si>
  <si>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</si>
  <si>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</si>
  <si>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</si>
  <si>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</si>
  <si>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</si>
  <si>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</si>
  <si>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</si>
  <si>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</si>
  <si>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</si>
  <si>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</si>
  <si>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</si>
  <si>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</si>
  <si>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</si>
  <si>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</si>
  <si>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</si>
  <si>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</si>
  <si>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</si>
  <si>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</si>
  <si>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</si>
  <si>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</si>
  <si>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</si>
  <si>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</si>
  <si>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</si>
  <si>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</si>
  <si>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</si>
  <si>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</si>
  <si>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</si>
  <si>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</si>
  <si>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</si>
  <si>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</si>
  <si>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</si>
  <si>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</si>
  <si>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</si>
  <si>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</si>
  <si>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</si>
  <si>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</si>
  <si>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</si>
  <si>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</si>
  <si>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</si>
  <si>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</si>
  <si>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</si>
  <si>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</si>
  <si>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</si>
  <si>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</si>
  <si>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</si>
  <si>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</si>
  <si>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</si>
  <si>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</si>
  <si>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</si>
  <si>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</si>
  <si>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</si>
  <si>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</si>
  <si>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</si>
  <si>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</si>
  <si>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</si>
  <si>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</si>
  <si>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</si>
  <si>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</si>
  <si>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</si>
  <si>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</si>
  <si>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</si>
  <si>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</si>
  <si>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</si>
  <si>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</si>
  <si>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</si>
  <si>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</si>
  <si>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</si>
  <si>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</si>
  <si>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</si>
  <si>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</si>
  <si>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</si>
  <si>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</si>
  <si>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</si>
  <si>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</si>
  <si>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</si>
  <si>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</si>
  <si>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</si>
  <si>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</si>
  <si>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</si>
  <si>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</si>
  <si>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</si>
  <si>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</si>
  <si>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</si>
  <si>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</si>
  <si>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</si>
  <si>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</si>
  <si>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</si>
  <si>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</si>
  <si>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</si>
  <si>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</si>
  <si>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</si>
  <si>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</si>
  <si>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</si>
  <si>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</si>
  <si>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</si>
  <si>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</si>
  <si>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</si>
  <si>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</si>
  <si>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</si>
  <si>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</si>
  <si>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</si>
  <si>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</si>
  <si>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</si>
  <si>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</si>
  <si>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</si>
  <si>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</si>
  <si>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</si>
  <si>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</si>
  <si>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</si>
  <si>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</si>
  <si>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</si>
  <si>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</si>
  <si>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</si>
  <si>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</si>
  <si>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</si>
  <si>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</si>
  <si>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</si>
  <si>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</si>
  <si>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</si>
  <si>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</si>
  <si>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</si>
  <si>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</si>
  <si>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</si>
  <si>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</si>
  <si>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</si>
  <si>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</si>
  <si>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</si>
  <si>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</si>
  <si>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</si>
  <si>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</si>
  <si>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</si>
  <si>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</si>
  <si>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</si>
  <si>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</si>
  <si>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</si>
  <si>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</si>
  <si>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</si>
  <si>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</si>
  <si>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</si>
  <si>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</si>
  <si>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</si>
  <si>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</si>
  <si>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</si>
  <si>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</si>
  <si>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</si>
  <si>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</si>
  <si>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</si>
  <si>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</si>
  <si>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</si>
  <si>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Kankakee</t>
  </si>
  <si>
    <t>4083 N 1000W Rd</t>
  </si>
  <si>
    <t>Bourbonnais</t>
  </si>
  <si>
    <t>Russell Leigh &amp; Associates</t>
  </si>
  <si>
    <t>228 East Main</t>
  </si>
  <si>
    <t>Hoopeston</t>
  </si>
  <si>
    <t>IL</t>
  </si>
  <si>
    <t>217-283-9336</t>
  </si>
  <si>
    <t>217-283-9736</t>
  </si>
  <si>
    <t>addredmin@russleigh.comss:</t>
  </si>
  <si>
    <t>Matthew Kelley</t>
  </si>
  <si>
    <t>815-939-4971</t>
  </si>
  <si>
    <t>815-939-7598</t>
  </si>
  <si>
    <t>Russ Leigh &amp; Associates</t>
  </si>
  <si>
    <t xml:space="preserve">Russ Leigh </t>
  </si>
  <si>
    <t>No contracts applicable</t>
  </si>
  <si>
    <t>065-018319</t>
  </si>
  <si>
    <t>Kankakee Are Reg Voc Ed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</si>
</sst>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1428750</xdr:colOff>
          <xdr:row>2</xdr:row>
          <xdr:rowOff>103910</xdr:rowOff>
        </xdr:from>
        <xdr:to>
          <xdr:col>1</xdr:col>
          <xdr:colOff>2331027</xdr:colOff>
          <xdr:row>6</xdr:row>
          <xdr:rowOff>101312</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isbe.net/Pages/ebfdistribution.aspx"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c r="C5" s="26" t="s">
        <v>966</v>
      </c>
      <c r="D5" s="84"/>
      <c r="E5" s="84"/>
      <c r="H5" s="38"/>
      <c r="I5" s="2041" t="s">
        <v>701</v>
      </c>
      <c r="J5" s="1986"/>
      <c r="K5" s="1986"/>
      <c r="L5" s="1986"/>
      <c r="M5" s="1986"/>
      <c r="N5" s="1986"/>
      <c r="O5" s="1986"/>
      <c r="P5" s="1986"/>
      <c r="Q5" s="1986"/>
      <c r="R5" s="1986"/>
      <c r="S5" s="1986"/>
    </row>
    <row r="6" spans="1:28" ht="14.1" customHeight="1" x14ac:dyDescent="0.2">
      <c r="B6" s="104" t="s">
        <v>2077</v>
      </c>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32000000046</v>
      </c>
      <c r="B13" s="2003"/>
      <c r="C13" s="2003"/>
      <c r="D13" s="2003"/>
      <c r="E13" s="2003"/>
      <c r="F13" s="2003"/>
      <c r="G13" s="2003"/>
      <c r="H13" s="2004"/>
      <c r="I13" s="31"/>
      <c r="J13" s="30"/>
      <c r="K13" s="28"/>
      <c r="L13" s="30"/>
      <c r="M13" s="30"/>
      <c r="N13" s="30"/>
      <c r="O13" s="30"/>
      <c r="P13" s="30"/>
      <c r="Q13" s="30"/>
      <c r="R13" s="30"/>
      <c r="S13" s="30"/>
      <c r="T13" s="2007" t="s">
        <v>2081</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2078</v>
      </c>
      <c r="B15" s="2005"/>
      <c r="C15" s="2005"/>
      <c r="D15" s="2005"/>
      <c r="E15" s="2005"/>
      <c r="F15" s="2005"/>
      <c r="G15" s="2005"/>
      <c r="H15" s="2006"/>
      <c r="T15" s="1968" t="s">
        <v>2092</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2095</v>
      </c>
      <c r="B17" s="2030"/>
      <c r="C17" s="2030"/>
      <c r="D17" s="2030"/>
      <c r="E17" s="2030"/>
      <c r="F17" s="2030"/>
      <c r="G17" s="2030"/>
      <c r="H17" s="2031"/>
      <c r="T17" s="2017" t="s">
        <v>2082</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2079</v>
      </c>
      <c r="B19" s="2001"/>
      <c r="C19" s="2001"/>
      <c r="D19" s="2001"/>
      <c r="E19" s="2001"/>
      <c r="F19" s="2001"/>
      <c r="G19" s="2001"/>
      <c r="H19" s="1999"/>
      <c r="I19" s="30"/>
      <c r="J19" s="99"/>
      <c r="K19" s="40"/>
      <c r="L19" s="38"/>
      <c r="M19" s="112" t="s">
        <v>333</v>
      </c>
      <c r="P19" s="27"/>
      <c r="Q19" s="27"/>
      <c r="R19" s="27"/>
      <c r="S19" s="31"/>
      <c r="T19" s="2000" t="s">
        <v>2083</v>
      </c>
      <c r="U19" s="1998"/>
      <c r="V19" s="1998"/>
      <c r="W19" s="1999"/>
      <c r="X19" s="2015" t="s">
        <v>2084</v>
      </c>
      <c r="Y19" s="2016"/>
      <c r="Z19" s="2013">
        <v>60942</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2080</v>
      </c>
      <c r="B21" s="1998"/>
      <c r="C21" s="1998"/>
      <c r="D21" s="1998"/>
      <c r="E21" s="1998"/>
      <c r="F21" s="1998"/>
      <c r="G21" s="1998"/>
      <c r="H21" s="1999"/>
      <c r="I21" s="2023" t="s">
        <v>699</v>
      </c>
      <c r="J21" s="1986"/>
      <c r="K21" s="1986"/>
      <c r="L21" s="1986"/>
      <c r="M21" s="1986"/>
      <c r="N21" s="1986"/>
      <c r="O21" s="1986"/>
      <c r="P21" s="1986"/>
      <c r="Q21" s="1986"/>
      <c r="R21" s="1986"/>
      <c r="S21" s="1987"/>
      <c r="T21" s="1965" t="s">
        <v>2085</v>
      </c>
      <c r="U21" s="1966"/>
      <c r="V21" s="1966"/>
      <c r="W21" s="1966"/>
      <c r="X21" s="1979" t="s">
        <v>2086</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c r="B23" s="2021"/>
      <c r="C23" s="2021"/>
      <c r="D23" s="2021"/>
      <c r="E23" s="2021"/>
      <c r="F23" s="2021"/>
      <c r="G23" s="2021"/>
      <c r="H23" s="2022"/>
      <c r="T23" s="1960" t="s">
        <v>2094</v>
      </c>
      <c r="U23" s="1961"/>
      <c r="V23" s="1961"/>
      <c r="W23" s="1961"/>
      <c r="X23" s="1976">
        <v>44469</v>
      </c>
      <c r="Y23" s="1977"/>
      <c r="Z23" s="1977"/>
      <c r="AA23" s="1978"/>
    </row>
    <row r="24" spans="1:27" ht="14.1" customHeight="1" x14ac:dyDescent="0.2">
      <c r="A24" s="88" t="s">
        <v>698</v>
      </c>
      <c r="B24" s="49"/>
      <c r="C24" s="49"/>
      <c r="D24" s="49"/>
      <c r="E24" s="49"/>
      <c r="F24" s="49"/>
      <c r="G24" s="49"/>
      <c r="H24" s="61"/>
      <c r="J24" s="2062" t="str">
        <f>IF(B5="x",IF(AUDITCHECK!D29="AFR form Incomplete.","",IF(AUDITCHECK!D29="Deficit reduction plan is required.","School District must complete a deficit reduction plan in the 2018-2019 Budget",)),"")</f>
        <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60914</v>
      </c>
      <c r="B25" s="1998"/>
      <c r="C25" s="1998"/>
      <c r="D25" s="1998"/>
      <c r="E25" s="1998"/>
      <c r="F25" s="1998"/>
      <c r="G25" s="1998"/>
      <c r="H25" s="1999"/>
      <c r="I25" s="113"/>
      <c r="J25" s="2064"/>
      <c r="K25" s="2064"/>
      <c r="L25" s="2064"/>
      <c r="M25" s="2064"/>
      <c r="N25" s="2064"/>
      <c r="O25" s="2064"/>
      <c r="P25" s="2064"/>
      <c r="Q25" s="2064"/>
      <c r="R25" s="2064"/>
      <c r="S25" s="2065"/>
      <c r="T25" s="1957" t="s">
        <v>2087</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2088</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2089</v>
      </c>
      <c r="B42" s="2047"/>
      <c r="C42" s="2048"/>
      <c r="D42" s="2061" t="s">
        <v>2090</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9" t="s">
        <v>2038</v>
      </c>
      <c r="D2" s="724" t="s">
        <v>2045</v>
      </c>
      <c r="E2" s="724" t="s">
        <v>2046</v>
      </c>
      <c r="F2" s="1909" t="s">
        <v>2039</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0</v>
      </c>
      <c r="D15" s="1777">
        <f>SUM(D6:D14)</f>
        <v>0</v>
      </c>
      <c r="E15" s="1777">
        <f>SUM(E6:E14)</f>
        <v>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0</v>
      </c>
      <c r="I12" s="1780">
        <f>SUM(I5:I11)</f>
        <v>0</v>
      </c>
      <c r="J12" s="1780">
        <f>SUM(J5:J11)</f>
        <v>0</v>
      </c>
      <c r="K12" s="1780">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0</v>
      </c>
      <c r="I23" s="1780">
        <f>SUM(I14:I16,I21,I22)</f>
        <v>0</v>
      </c>
      <c r="J23" s="1780">
        <f>SUM(J14:J16,J21,J22)</f>
        <v>0</v>
      </c>
      <c r="K23" s="1780">
        <f>SUM(K14:K16,K21,K22)</f>
        <v>0</v>
      </c>
    </row>
    <row r="24" spans="1:11" ht="14.25" thickTop="1" thickBot="1" x14ac:dyDescent="0.25">
      <c r="A24" s="2251" t="s">
        <v>2026</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1353814</v>
      </c>
      <c r="D12" s="845">
        <v>140672</v>
      </c>
      <c r="E12" s="845"/>
      <c r="F12" s="1782">
        <f>(C12+D12)-E12</f>
        <v>1494486</v>
      </c>
      <c r="G12" s="844">
        <v>10</v>
      </c>
      <c r="H12" s="766">
        <v>1123155</v>
      </c>
      <c r="I12" s="766">
        <v>63827</v>
      </c>
      <c r="J12" s="766"/>
      <c r="K12" s="1791">
        <f>(H12+I12)-J12</f>
        <v>1186982</v>
      </c>
      <c r="L12" s="1791">
        <f>F12-K12</f>
        <v>307504</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1353814</v>
      </c>
      <c r="D16" s="1782">
        <f>SUM(D3,D5:D6,D8:D10,D12:D15)</f>
        <v>140672</v>
      </c>
      <c r="E16" s="1782">
        <f>SUM(E3,E5:E6,E8:E10,E12:E15)</f>
        <v>0</v>
      </c>
      <c r="F16" s="1782">
        <f>SUM(F3,F5:F6,F8:F10,F12:F15)</f>
        <v>1494486</v>
      </c>
      <c r="G16" s="844"/>
      <c r="H16" s="1782">
        <f>SUM(H3,H6,H8:H10,H12:H14,)</f>
        <v>1123155</v>
      </c>
      <c r="I16" s="1782">
        <f>SUM(I3,I6,I8:I10,I12:I14,)</f>
        <v>63827</v>
      </c>
      <c r="J16" s="1782">
        <f>SUM(J3,J6,J8:J10,J12:J14,)</f>
        <v>0</v>
      </c>
      <c r="K16" s="1782">
        <f>(H16+I16)-J16</f>
        <v>1186982</v>
      </c>
      <c r="L16" s="1782">
        <f>F16-K16</f>
        <v>307504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63827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33"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1571791</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1571791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1162081</v>
      </c>
      <c r="G53" s="866"/>
    </row>
    <row r="54" spans="1:7" x14ac:dyDescent="0.2">
      <c r="A54" s="870" t="s">
        <v>479</v>
      </c>
      <c r="B54" s="870" t="s">
        <v>1552</v>
      </c>
      <c r="C54" s="890" t="s">
        <v>1039</v>
      </c>
      <c r="D54" s="886" t="s">
        <v>1157</v>
      </c>
      <c r="E54" s="869"/>
      <c r="F54" s="1939">
        <f>'Expenditures 15-22'!G114</f>
        <v>140672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1302753</v>
      </c>
      <c r="G76" s="866"/>
    </row>
    <row r="77" spans="1:8" s="894" customFormat="1" ht="12" customHeight="1" thickTop="1" thickBot="1" x14ac:dyDescent="0.25">
      <c r="A77" s="1801"/>
      <c r="B77" s="1798"/>
      <c r="C77" s="1794"/>
      <c r="D77" s="1799" t="s">
        <v>2012</v>
      </c>
      <c r="E77" s="1796"/>
      <c r="F77" s="1802">
        <f>(F14-F76)</f>
        <v>269038</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1250787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261473</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1512260</v>
      </c>
    </row>
    <row r="179" spans="1:7" ht="12" customHeight="1" x14ac:dyDescent="0.2">
      <c r="A179" s="1792"/>
      <c r="B179" s="1806"/>
      <c r="C179" s="1807"/>
      <c r="D179" s="1808" t="s">
        <v>2015</v>
      </c>
      <c r="E179" s="1809"/>
      <c r="F179" s="1811">
        <f>'PCTC-OEPP 27-28'!F77-F178</f>
        <v>-1243222</v>
      </c>
    </row>
    <row r="180" spans="1:7" ht="12" customHeight="1" x14ac:dyDescent="0.2">
      <c r="A180" s="1792"/>
      <c r="B180" s="1806"/>
      <c r="C180" s="1807"/>
      <c r="D180" s="1808" t="s">
        <v>1924</v>
      </c>
      <c r="E180" s="1809"/>
      <c r="F180" s="1811">
        <f>'Cap Outlay Deprec 26'!I18</f>
        <v>63827</v>
      </c>
    </row>
    <row r="181" spans="1:7" ht="12" customHeight="1" x14ac:dyDescent="0.2">
      <c r="A181" s="1792"/>
      <c r="B181" s="1806"/>
      <c r="C181" s="1807"/>
      <c r="D181" s="1808" t="s">
        <v>2016</v>
      </c>
      <c r="E181" s="1809"/>
      <c r="F181" s="1811">
        <f>F179+F180</f>
        <v>-1179395</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6" activePane="bottomLeft" state="frozen"/>
      <selection pane="bottomLeft" activeCell="A26" sqref="A26"/>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956" t="s">
        <v>2093</v>
      </c>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B13" sqref="B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91507</v>
      </c>
      <c r="F19" s="1822"/>
      <c r="G19" s="1824">
        <f>'Expenditures 15-22'!K33-SUM('Expenditures 15-22'!G33,'Expenditures 15-22'!I33)+'Expenditures 15-22'!D229</f>
        <v>91507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25415</v>
      </c>
      <c r="F21" s="1825"/>
      <c r="G21" s="1828">
        <f>'Expenditures 15-22'!K42-SUM('Expenditures 15-22'!G42,'Expenditures 15-22'!I42)+'Expenditures 15-22'!K120-SUM('Expenditures 15-22'!G120,'Expenditures 15-22'!I120)+'Expenditures 15-22'!K180-SUM('Expenditures 15-22'!G180,'Expenditures 15-22'!I180)+'Expenditures 15-22'!D238</f>
        <v>25415</v>
      </c>
      <c r="H21" s="988"/>
      <c r="I21" s="162"/>
    </row>
    <row r="22" spans="1:9" s="669" customFormat="1" ht="12" customHeight="1" x14ac:dyDescent="0.2">
      <c r="A22" s="995" t="s">
        <v>585</v>
      </c>
      <c r="B22" s="996"/>
      <c r="C22" s="994">
        <v>2200</v>
      </c>
      <c r="D22" s="1825"/>
      <c r="E22" s="1827">
        <f>'Expenditures 15-22'!K47-SUM('Expenditures 15-22'!G47,'Expenditures 15-22'!I47)+'Expenditures 15-22'!D243</f>
        <v>60793</v>
      </c>
      <c r="F22" s="1825"/>
      <c r="G22" s="1828">
        <f>'Expenditures 15-22'!K47-SUM('Expenditures 15-22'!G47,'Expenditures 15-22'!I47)+'Expenditures 15-22'!D243</f>
        <v>60793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73341</v>
      </c>
      <c r="F23" s="1825"/>
      <c r="G23" s="1827">
        <f>'Expenditures 15-22'!K53-SUM('Expenditures 15-22'!G53,'Expenditures 15-22'!I53)+'Expenditures 15-22'!D257+'Expenditures 15-22'!K330-SUM('Expenditures 15-22'!G330,'Expenditures 15-22'!I330)</f>
        <v>73341</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17982</v>
      </c>
      <c r="E27" s="1827">
        <f>E8</f>
        <v>0</v>
      </c>
      <c r="F27" s="1827">
        <f>'Expenditures 15-22'!K60-SUM('Expenditures 15-22'!G60,'Expenditures 15-22'!I60)+'Expenditures 15-22'!D264-E8</f>
        <v>17982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17982</v>
      </c>
      <c r="E41" s="1829">
        <f>SUM(E19:E40)</f>
        <v>251056</v>
      </c>
      <c r="F41" s="1829">
        <f>SUM(F19:F39)</f>
        <v>17982</v>
      </c>
      <c r="G41" s="1829">
        <f>SUM(G19:G40)</f>
        <v>251056</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17982</v>
      </c>
      <c r="F43" s="1830" t="s">
        <v>495</v>
      </c>
      <c r="G43" s="1831">
        <f>F41</f>
        <v>17982</v>
      </c>
    </row>
    <row r="44" spans="1:7" ht="12" customHeight="1" x14ac:dyDescent="0.2">
      <c r="A44" s="988"/>
      <c r="B44" s="162"/>
      <c r="C44" s="1002"/>
      <c r="D44" s="1830" t="s">
        <v>494</v>
      </c>
      <c r="E44" s="1831">
        <f>E41</f>
        <v>251056</v>
      </c>
      <c r="F44" s="1830" t="s">
        <v>494</v>
      </c>
      <c r="G44" s="1831">
        <f>G41</f>
        <v>251056</v>
      </c>
    </row>
    <row r="45" spans="1:7" ht="12" customHeight="1" x14ac:dyDescent="0.2">
      <c r="A45" s="988"/>
      <c r="B45" s="162"/>
      <c r="C45" s="162"/>
      <c r="D45" s="1832" t="s">
        <v>1063</v>
      </c>
      <c r="E45" s="1833">
        <f>(E43/E44)</f>
        <v>7.1625454081957807E-2</v>
      </c>
      <c r="F45" s="1832" t="s">
        <v>1063</v>
      </c>
      <c r="G45" s="1833">
        <f>(G43/G44)</f>
        <v>7.1625454081957807E-2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B9" sqref="B9"/>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09" t="s">
        <v>1446</v>
      </c>
      <c r="B1" s="2309"/>
      <c r="C1" s="2309"/>
      <c r="D1" s="2309"/>
      <c r="E1" s="2309"/>
      <c r="F1" s="230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0" t="s">
        <v>1627</v>
      </c>
      <c r="B5" s="2311"/>
      <c r="C5" s="2312"/>
      <c r="D5" s="2312"/>
      <c r="E5" s="2312"/>
      <c r="F5" s="2312"/>
    </row>
    <row r="6" spans="1:10" ht="12" customHeight="1" x14ac:dyDescent="0.25">
      <c r="A6" s="1875"/>
      <c r="B6" s="1876"/>
      <c r="C6" s="2313" t="str">
        <f>COVER!A17</f>
        <v>Kankakee Are Reg Voc Ed System</v>
      </c>
      <c r="D6" s="2313"/>
      <c r="E6" s="2313"/>
      <c r="F6" s="1877"/>
    </row>
    <row r="7" spans="1:10" ht="11.25" customHeight="1" thickBot="1" x14ac:dyDescent="0.3">
      <c r="A7" s="1875"/>
      <c r="B7" s="1876"/>
      <c r="C7" s="2314">
        <f>COVER!A13</f>
        <v>32000000046</v>
      </c>
      <c r="D7" s="2314"/>
      <c r="E7" s="2314"/>
      <c r="F7" s="1877"/>
    </row>
    <row r="8" spans="1:10" ht="25.5" customHeight="1" thickBot="1" x14ac:dyDescent="0.25">
      <c r="A8" s="1918" t="s">
        <v>2025</v>
      </c>
      <c r="B8" s="1878" t="s">
        <v>2077</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Kankakee Are Reg Voc Ed System</v>
      </c>
      <c r="J6" s="2334"/>
      <c r="Q6" s="1686"/>
    </row>
    <row r="7" spans="1:17" x14ac:dyDescent="0.2">
      <c r="A7" s="2335" t="s">
        <v>924</v>
      </c>
      <c r="B7" s="2336"/>
      <c r="C7" s="2336"/>
      <c r="D7" s="2336"/>
      <c r="E7" s="2337"/>
      <c r="F7" s="1018"/>
      <c r="G7" s="1010"/>
      <c r="H7" s="1017" t="s">
        <v>390</v>
      </c>
      <c r="I7" s="2338">
        <f>COVER!A13</f>
        <v>32000000046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0</v>
      </c>
      <c r="F19" s="1836">
        <f t="shared" si="2"/>
        <v>0</v>
      </c>
      <c r="G19" s="1836">
        <f t="shared" si="2"/>
        <v>0</v>
      </c>
      <c r="H19" s="1836">
        <f t="shared" si="2"/>
        <v>0</v>
      </c>
      <c r="I19" s="1836">
        <f t="shared" si="2"/>
        <v>0</v>
      </c>
      <c r="J19" s="1836">
        <f t="shared" si="2"/>
        <v>0</v>
      </c>
    </row>
    <row r="20" spans="1:10" ht="13.5" thickTop="1" x14ac:dyDescent="0.2">
      <c r="A20" s="1036">
        <v>9</v>
      </c>
      <c r="B20" s="2345" t="s">
        <v>1703</v>
      </c>
      <c r="C20" s="2345"/>
      <c r="D20" s="2346"/>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31"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Kankakee Are Reg Voc Ed System</v>
      </c>
    </row>
    <row r="65" spans="2:2" x14ac:dyDescent="0.2">
      <c r="B65" s="1071">
        <f>COVER!A13</f>
        <v>32000000046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1428750</xdr:colOff>
                <xdr:row>2</xdr:row>
                <xdr:rowOff>104775</xdr:rowOff>
              </from>
              <to>
                <xdr:col>1</xdr:col>
                <xdr:colOff>2333625</xdr:colOff>
                <xdr:row>6</xdr:row>
                <xdr:rowOff>104775</xdr:rowOff>
              </to>
            </anchor>
          </objectPr>
        </oleObject>
      </mc:Choice>
      <mc:Fallback>
        <oleObject progId="Acrobat Document" dvAspect="DVASPECT_ICON" shapeId="35841"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1512260</v>
      </c>
      <c r="C8" s="1838">
        <f>'Acct Summary 7-8'!D8</f>
        <v>0</v>
      </c>
      <c r="D8" s="1838">
        <f>'Acct Summary 7-8'!F8</f>
        <v>0</v>
      </c>
      <c r="E8" s="1838">
        <f>'Acct Summary 7-8'!I8</f>
        <v>0</v>
      </c>
      <c r="F8" s="1838">
        <f>SUM(B8:E8)</f>
        <v>1512260</v>
      </c>
    </row>
    <row r="9" spans="1:8" s="1080" customFormat="1" ht="14.25" customHeight="1" thickBot="1" x14ac:dyDescent="0.25">
      <c r="A9" s="1079" t="s">
        <v>1436</v>
      </c>
      <c r="B9" s="1839">
        <f>'Acct Summary 7-8'!C17</f>
        <v>1571791</v>
      </c>
      <c r="C9" s="1839">
        <f>'Acct Summary 7-8'!D17</f>
        <v>0</v>
      </c>
      <c r="D9" s="1839">
        <f>'Acct Summary 7-8'!F17</f>
        <v>0</v>
      </c>
      <c r="E9" s="1838"/>
      <c r="F9" s="1838">
        <f>SUM(B9:E9)</f>
        <v>1571791</v>
      </c>
    </row>
    <row r="10" spans="1:8" s="1080" customFormat="1" ht="14.25" thickTop="1" thickBot="1" x14ac:dyDescent="0.25">
      <c r="A10" s="1081" t="s">
        <v>1437</v>
      </c>
      <c r="B10" s="1840">
        <f>(B8-B9)</f>
        <v>-59531</v>
      </c>
      <c r="C10" s="1840">
        <f>(C8-C9)</f>
        <v>0</v>
      </c>
      <c r="D10" s="1840">
        <f>(D8-D9)</f>
        <v>0</v>
      </c>
      <c r="E10" s="1839">
        <f>(E8-E9)</f>
        <v>0</v>
      </c>
      <c r="F10" s="1841">
        <f>SUM(F8-F9)</f>
        <v>-59531</v>
      </c>
    </row>
    <row r="11" spans="1:8" s="1080" customFormat="1" ht="14.25" thickTop="1" thickBot="1" x14ac:dyDescent="0.25">
      <c r="A11" s="1082" t="s">
        <v>1785</v>
      </c>
      <c r="B11" s="1842">
        <f>'Acct Summary 7-8'!C81</f>
        <v>331389</v>
      </c>
      <c r="C11" s="1842">
        <f>'Acct Summary 7-8'!D81</f>
        <v>0</v>
      </c>
      <c r="D11" s="1842">
        <f>'Acct Summary 7-8'!F81</f>
        <v>0</v>
      </c>
      <c r="E11" s="1842">
        <f>'Acct Summary 7-8'!I81</f>
        <v>0</v>
      </c>
      <c r="F11" s="1843">
        <f>SUM(B11:E11)</f>
        <v>331389</v>
      </c>
    </row>
    <row r="12" spans="1:8" ht="16.5" customHeight="1" thickTop="1" x14ac:dyDescent="0.2">
      <c r="A12" s="1083"/>
      <c r="B12" s="1084"/>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32000000046</v>
      </c>
    </row>
    <row r="3" spans="1:2" x14ac:dyDescent="0.2">
      <c r="A3" t="s">
        <v>1013</v>
      </c>
      <c r="B3" s="138" t="str">
        <f>COVER!A15</f>
        <v>Kankakee</v>
      </c>
    </row>
    <row r="4" spans="1:2" x14ac:dyDescent="0.2">
      <c r="A4" t="s">
        <v>1064</v>
      </c>
      <c r="B4" s="138" t="str">
        <f>COVER!A17</f>
        <v>Kankakee Are Reg Voc Ed System</v>
      </c>
    </row>
    <row r="5" spans="1:2" x14ac:dyDescent="0.2">
      <c r="A5" t="s">
        <v>728</v>
      </c>
      <c r="B5" s="138" t="str">
        <f>COVER!A38</f>
        <v>Matthew Kelley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065-018319</v>
      </c>
    </row>
    <row r="16" spans="1:2" x14ac:dyDescent="0.2">
      <c r="A16" t="s">
        <v>442</v>
      </c>
      <c r="B16" s="138" t="str">
        <f>COVER!T13</f>
        <v>Russell Leigh &amp; Associates</v>
      </c>
    </row>
    <row r="17" spans="1:2" x14ac:dyDescent="0.2">
      <c r="A17" t="s">
        <v>939</v>
      </c>
      <c r="B17" s="138" t="str">
        <f>COVER!T15</f>
        <v xml:space="preserve">Russ Leigh </v>
      </c>
    </row>
    <row r="18" spans="1:2" x14ac:dyDescent="0.2">
      <c r="A18" t="s">
        <v>1212</v>
      </c>
      <c r="B18" s="138" t="str">
        <f>COVER!T17</f>
        <v>228 East Main</v>
      </c>
    </row>
    <row r="19" spans="1:2" x14ac:dyDescent="0.2">
      <c r="A19" t="s">
        <v>941</v>
      </c>
      <c r="B19" s="138" t="str">
        <f>COVER!T25</f>
        <v>addredmin@russleigh.comss:</v>
      </c>
    </row>
    <row r="20" spans="1:2" x14ac:dyDescent="0.2">
      <c r="A20" t="s">
        <v>942</v>
      </c>
      <c r="B20" s="138" t="str">
        <f>COVER!T19</f>
        <v>Hoopeston</v>
      </c>
    </row>
    <row r="21" spans="1:2" x14ac:dyDescent="0.2">
      <c r="A21" t="s">
        <v>500</v>
      </c>
      <c r="B21" s="138" t="str">
        <f>COVER!X19</f>
        <v>IL</v>
      </c>
    </row>
    <row r="22" spans="1:2" x14ac:dyDescent="0.2">
      <c r="A22" t="s">
        <v>943</v>
      </c>
      <c r="B22" s="138">
        <f>COVER!Z19</f>
        <v>60942</v>
      </c>
    </row>
    <row r="23" spans="1:2" x14ac:dyDescent="0.2">
      <c r="A23" t="s">
        <v>1214</v>
      </c>
      <c r="B23" s="138" t="str">
        <f>COVER!T21</f>
        <v>217-283-9336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331389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331389</v>
      </c>
      <c r="D92" s="2" t="str">
        <f t="shared" si="0"/>
        <v>Error?</v>
      </c>
    </row>
    <row r="93" spans="1:4" x14ac:dyDescent="0.2">
      <c r="A93" s="5">
        <v>32</v>
      </c>
      <c r="B93" s="138">
        <f>'Assets-Liab 5-6'!C41</f>
        <v>331389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1494486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1494486</v>
      </c>
      <c r="C279" s="2" t="s">
        <v>594</v>
      </c>
      <c r="D279" s="2" t="str">
        <f t="shared" si="3"/>
        <v>Error?</v>
      </c>
    </row>
    <row r="280" spans="1:4" x14ac:dyDescent="0.2">
      <c r="A280" s="5">
        <v>219</v>
      </c>
      <c r="B280" s="138">
        <f>'Assets-Liab 5-6'!M40</f>
        <v>1494486</v>
      </c>
      <c r="D280" s="2" t="str">
        <f t="shared" si="3"/>
        <v>Error?</v>
      </c>
    </row>
    <row r="281" spans="1:4" x14ac:dyDescent="0.2">
      <c r="A281" s="5">
        <v>220</v>
      </c>
      <c r="B281" s="138">
        <f>'Assets-Liab 5-6'!M41</f>
        <v>1494486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69115</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69115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13677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13677</v>
      </c>
      <c r="C727" s="2" t="s">
        <v>594</v>
      </c>
      <c r="D727" s="2" t="str">
        <f t="shared" si="10"/>
        <v>Error?</v>
      </c>
    </row>
    <row r="728" spans="1:4" x14ac:dyDescent="0.2">
      <c r="A728" s="5">
        <v>667</v>
      </c>
      <c r="B728" s="138">
        <f>'Expenditures 15-22'!C44</f>
        <v>37709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37709</v>
      </c>
      <c r="C731" s="2" t="s">
        <v>594</v>
      </c>
      <c r="D731" s="2" t="str">
        <f t="shared" si="10"/>
        <v>Error?</v>
      </c>
    </row>
    <row r="732" spans="1:4" x14ac:dyDescent="0.2">
      <c r="A732" s="5">
        <v>671</v>
      </c>
      <c r="B732" s="138">
        <f>'Expenditures 15-22'!C49</f>
        <v>50876</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50876</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10308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10308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112570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181685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7920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7920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1658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1658</v>
      </c>
      <c r="C785" s="2" t="s">
        <v>594</v>
      </c>
      <c r="D785" s="2" t="str">
        <f t="shared" si="11"/>
        <v>Error?</v>
      </c>
    </row>
    <row r="786" spans="1:4" x14ac:dyDescent="0.2">
      <c r="A786" s="5">
        <v>725</v>
      </c>
      <c r="B786" s="138">
        <f>'Expenditures 15-22'!D44</f>
        <v>10561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10561</v>
      </c>
      <c r="C789" s="2" t="s">
        <v>594</v>
      </c>
      <c r="D789" s="2" t="str">
        <f t="shared" si="11"/>
        <v>Error?</v>
      </c>
    </row>
    <row r="790" spans="1:4" x14ac:dyDescent="0.2">
      <c r="A790" s="5">
        <v>729</v>
      </c>
      <c r="B790" s="138">
        <f>'Expenditures 15-22'!D49</f>
        <v>19615</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19615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1637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1637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33471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41391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12311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12311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10080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10080</v>
      </c>
      <c r="C843" s="2" t="s">
        <v>594</v>
      </c>
      <c r="D843" s="2" t="str">
        <f t="shared" si="12"/>
        <v>Error?</v>
      </c>
    </row>
    <row r="844" spans="1:4" x14ac:dyDescent="0.2">
      <c r="A844" s="5">
        <v>783</v>
      </c>
      <c r="B844" s="138">
        <f>'Expenditures 15-22'!E44</f>
        <v>9126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9126</v>
      </c>
      <c r="C847" s="2" t="s">
        <v>594</v>
      </c>
      <c r="D847" s="2" t="str">
        <f t="shared" si="12"/>
        <v>Error?</v>
      </c>
    </row>
    <row r="848" spans="1:4" x14ac:dyDescent="0.2">
      <c r="A848" s="5">
        <v>787</v>
      </c>
      <c r="B848" s="138">
        <f>'Expenditures 15-22'!E49</f>
        <v>2850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2850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6037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6037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28093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40404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2161</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2161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1437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1960</v>
      </c>
      <c r="D904" s="2" t="str">
        <f t="shared" si="13"/>
        <v>Error?</v>
      </c>
    </row>
    <row r="905" spans="1:4" x14ac:dyDescent="0.2">
      <c r="A905" s="5">
        <v>844</v>
      </c>
      <c r="B905" s="138">
        <f>'Expenditures 15-22'!F47</f>
        <v>3397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3397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5558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140672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140672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t="str">
        <f>'Expenditures 15-22'!G46</f>
        <v xml:space="preserve"> </v>
      </c>
      <c r="D962" s="2" t="e">
        <f t="shared" si="14"/>
        <v>#VALUE!</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140672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1162081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1162081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232179</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232179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25415</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25415</v>
      </c>
      <c r="C1115" s="2" t="s">
        <v>594</v>
      </c>
      <c r="D1115" s="2" t="str">
        <f t="shared" si="16"/>
        <v>Error?</v>
      </c>
    </row>
    <row r="1116" spans="1:4" x14ac:dyDescent="0.2">
      <c r="A1116" s="5">
        <v>1055</v>
      </c>
      <c r="B1116" s="138">
        <f>'Expenditures 15-22'!K44</f>
        <v>58833</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1960</v>
      </c>
      <c r="C1118" s="2" t="s">
        <v>594</v>
      </c>
      <c r="D1118" s="2" t="str">
        <f t="shared" si="16"/>
        <v>Error?</v>
      </c>
    </row>
    <row r="1119" spans="1:4" x14ac:dyDescent="0.2">
      <c r="A1119" s="5">
        <v>1058</v>
      </c>
      <c r="B1119" s="138">
        <f>'Expenditures 15-22'!K47</f>
        <v>60793</v>
      </c>
      <c r="C1119" s="2" t="s">
        <v>594</v>
      </c>
      <c r="D1119" s="2" t="str">
        <f t="shared" si="16"/>
        <v>Error?</v>
      </c>
    </row>
    <row r="1120" spans="1:4" x14ac:dyDescent="0.2">
      <c r="A1120" s="5">
        <v>1059</v>
      </c>
      <c r="B1120" s="138">
        <f>'Expenditures 15-22'!K49</f>
        <v>73341</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73341</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17982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17982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177531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1162081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1571791</v>
      </c>
      <c r="C1152" s="2" t="s">
        <v>594</v>
      </c>
      <c r="D1152" s="2" t="str">
        <f t="shared" si="17"/>
        <v>Error?</v>
      </c>
    </row>
    <row r="1153" spans="1:4" x14ac:dyDescent="0.2">
      <c r="A1153" s="5">
        <v>1092</v>
      </c>
      <c r="B1153" s="138">
        <f>'Expenditures 15-22'!K115</f>
        <v>-59531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390920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331389</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1353814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1353814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140672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140672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1494486</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1494486</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1123155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1123155</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63827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63827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1186982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1186982</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307504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307504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1162081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1162081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594</v>
      </c>
      <c r="D2551" s="2" t="str">
        <f t="shared" si="38"/>
        <v>Error?</v>
      </c>
    </row>
    <row r="2552" spans="1:4" x14ac:dyDescent="0.2">
      <c r="A2552" s="10">
        <v>2491</v>
      </c>
      <c r="D2552" s="2" t="str">
        <f t="shared" si="38"/>
        <v>OK</v>
      </c>
    </row>
    <row r="2553" spans="1:4" x14ac:dyDescent="0.2">
      <c r="A2553" s="5">
        <v>2492</v>
      </c>
      <c r="B2553" s="138">
        <f>'Acct Summary 7-8'!C6</f>
        <v>1250787</v>
      </c>
      <c r="C2553" s="2" t="s">
        <v>594</v>
      </c>
      <c r="D2553" s="2" t="str">
        <f t="shared" si="38"/>
        <v>Error?</v>
      </c>
    </row>
    <row r="2554" spans="1:4" x14ac:dyDescent="0.2">
      <c r="A2554" s="5">
        <v>2493</v>
      </c>
      <c r="B2554" s="138">
        <f>'Acct Summary 7-8'!C7</f>
        <v>261473</v>
      </c>
      <c r="C2554" s="2" t="s">
        <v>594</v>
      </c>
      <c r="D2554" s="2" t="str">
        <f t="shared" si="38"/>
        <v>Error?</v>
      </c>
    </row>
    <row r="2555" spans="1:4" x14ac:dyDescent="0.2">
      <c r="A2555" s="5">
        <v>2494</v>
      </c>
      <c r="B2555" s="138">
        <f>'Acct Summary 7-8'!C8</f>
        <v>1512260</v>
      </c>
      <c r="C2555" s="2" t="s">
        <v>594</v>
      </c>
      <c r="D2555" s="2" t="str">
        <f t="shared" si="38"/>
        <v>Error?</v>
      </c>
    </row>
    <row r="2556" spans="1:4" x14ac:dyDescent="0.2">
      <c r="A2556" s="5">
        <v>2495</v>
      </c>
      <c r="B2556" s="138">
        <f>'Acct Summary 7-8'!C12</f>
        <v>232179</v>
      </c>
      <c r="C2556" s="2" t="s">
        <v>594</v>
      </c>
      <c r="D2556" s="2" t="str">
        <f t="shared" si="38"/>
        <v>Error?</v>
      </c>
    </row>
    <row r="2557" spans="1:4" x14ac:dyDescent="0.2">
      <c r="A2557" s="5">
        <v>2496</v>
      </c>
      <c r="B2557" s="138">
        <f>'Acct Summary 7-8'!C13</f>
        <v>177531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1162081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1571791</v>
      </c>
      <c r="C2561" s="2" t="s">
        <v>594</v>
      </c>
      <c r="D2561" s="2" t="str">
        <f t="shared" si="39"/>
        <v>Error?</v>
      </c>
    </row>
    <row r="2562" spans="1:4" x14ac:dyDescent="0.2">
      <c r="A2562" s="5">
        <v>2501</v>
      </c>
      <c r="B2562" s="138">
        <f>'Acct Summary 7-8'!C20</f>
        <v>-59531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1162081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1162081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-59531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331389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1512260</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1571791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331389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261473</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1250787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1250787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1250787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1250787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261473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261473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261473</v>
      </c>
      <c r="C5326" s="2" t="s">
        <v>594</v>
      </c>
      <c r="D5326" s="2" t="str">
        <f t="shared" si="82"/>
        <v>Error?</v>
      </c>
    </row>
    <row r="5327" spans="1:4" x14ac:dyDescent="0.2">
      <c r="A5327" s="5">
        <v>5266</v>
      </c>
      <c r="B5327" s="138">
        <f>'Revenues 9-14'!C275</f>
        <v>1512260</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-59531</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-0.17964084504917183</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63827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Kankakee Are Reg Voc Ed System</v>
      </c>
      <c r="B7" s="2420"/>
      <c r="C7" s="2420"/>
      <c r="D7" s="2421"/>
      <c r="E7" s="2422">
        <f>COVER!A13</f>
        <v>32000000046</v>
      </c>
      <c r="F7" s="2423"/>
      <c r="G7" s="2429" t="str">
        <f>COVER!T23</f>
        <v>065-018319</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Russell Leigh &amp; Associates</v>
      </c>
      <c r="H9" s="2435"/>
      <c r="I9" s="2435"/>
      <c r="J9" s="2435"/>
      <c r="K9" s="2435"/>
      <c r="L9" s="2436"/>
    </row>
    <row r="10" spans="1:29" ht="13.5" customHeight="1" x14ac:dyDescent="0.2">
      <c r="A10" s="2409" t="str">
        <f>COVER!A38</f>
        <v>Matthew Kelley</v>
      </c>
      <c r="B10" s="2410"/>
      <c r="C10" s="2410"/>
      <c r="D10" s="2410"/>
      <c r="E10" s="2410"/>
      <c r="F10" s="2411"/>
      <c r="G10" s="2403" t="str">
        <f>COVER!T17</f>
        <v>228 East Main</v>
      </c>
      <c r="H10" s="2404"/>
      <c r="I10" s="2404"/>
      <c r="J10" s="2404"/>
      <c r="K10" s="2404"/>
      <c r="L10" s="2405"/>
    </row>
    <row r="11" spans="1:29" ht="13.5" customHeight="1" x14ac:dyDescent="0.2">
      <c r="A11" s="1185" t="s">
        <v>1599</v>
      </c>
      <c r="B11" s="1186"/>
      <c r="C11" s="1187"/>
      <c r="D11" s="1192"/>
      <c r="E11" s="1187"/>
      <c r="F11" s="1191"/>
      <c r="G11" s="2403" t="str">
        <f>COVER!T19</f>
        <v>Hoopeston</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addredmin@russleigh.comss:</v>
      </c>
      <c r="J13" s="2416"/>
      <c r="K13" s="2416"/>
      <c r="L13" s="2417"/>
    </row>
    <row r="14" spans="1:29" ht="13.5" customHeight="1" x14ac:dyDescent="0.2">
      <c r="A14" s="2403" t="str">
        <f>COVER!A19</f>
        <v>4083 N 1000W Rd</v>
      </c>
      <c r="B14" s="2404"/>
      <c r="C14" s="2404"/>
      <c r="D14" s="2404"/>
      <c r="E14" s="2404"/>
      <c r="F14" s="2405"/>
      <c r="G14" s="1196" t="s">
        <v>1247</v>
      </c>
      <c r="H14" s="1194"/>
      <c r="I14" s="1194"/>
      <c r="J14" s="1194"/>
      <c r="K14" s="1194"/>
      <c r="L14" s="1195"/>
    </row>
    <row r="15" spans="1:29" ht="13.5" customHeight="1" x14ac:dyDescent="0.2">
      <c r="A15" s="2403" t="str">
        <f>COVER!A21</f>
        <v>Bourbonnais</v>
      </c>
      <c r="B15" s="2404"/>
      <c r="C15" s="2404"/>
      <c r="D15" s="2404"/>
      <c r="E15" s="2404"/>
      <c r="F15" s="2405"/>
      <c r="G15" s="2400" t="str">
        <f>COVER!T15</f>
        <v xml:space="preserve">Russ Leigh </v>
      </c>
      <c r="H15" s="2401"/>
      <c r="I15" s="2401"/>
      <c r="J15" s="2401"/>
      <c r="K15" s="2401"/>
      <c r="L15" s="2402"/>
    </row>
    <row r="16" spans="1:29" ht="12.2" customHeight="1" x14ac:dyDescent="0.2">
      <c r="A16" s="2425">
        <f>COVER!A25</f>
        <v>60914</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217-283-9336</v>
      </c>
      <c r="H18" s="2420"/>
      <c r="I18" s="2420"/>
      <c r="J18" s="2420"/>
      <c r="K18" s="2419" t="str">
        <f>COVER!X21</f>
        <v>217-283-9736</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Kankakee Are Reg Voc Ed System</v>
      </c>
      <c r="B1" s="2418"/>
      <c r="C1" s="2418"/>
      <c r="D1" s="2418"/>
    </row>
    <row r="2" spans="1:11" s="1215" customFormat="1" ht="12.75" x14ac:dyDescent="0.2">
      <c r="A2" s="2442">
        <f>'Single Audit Cover'!E7</f>
        <v>32000000046</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Kankakee Are Reg Voc Ed System</v>
      </c>
      <c r="B1" s="2445"/>
      <c r="C1" s="2445"/>
      <c r="D1" s="2445"/>
      <c r="E1" s="2445"/>
    </row>
    <row r="2" spans="1:5" x14ac:dyDescent="0.2">
      <c r="A2" s="2446">
        <f>'Single Audit Cover'!E7</f>
        <v>32000000046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261473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261473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261473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261473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2081</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2091</v>
      </c>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Kankakee Are Reg Voc Ed System</v>
      </c>
      <c r="B1" s="2458"/>
      <c r="C1" s="2458"/>
      <c r="D1" s="2458"/>
      <c r="E1" s="2458"/>
      <c r="F1" s="2458"/>
    </row>
    <row r="2" spans="1:7" ht="13.5" customHeight="1" x14ac:dyDescent="0.2">
      <c r="A2" s="2459">
        <f>'Single Audit Cover'!E7</f>
        <v>32000000046</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2">
        <f>+C33+C34</f>
        <v>0</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Kankakee Are Reg Voc Ed System</v>
      </c>
      <c r="C1" s="2462"/>
      <c r="D1" s="2462"/>
      <c r="E1" s="2462"/>
      <c r="F1" s="2462"/>
      <c r="G1" s="2462"/>
      <c r="H1" s="2462"/>
      <c r="I1" s="2462"/>
      <c r="J1" s="2462"/>
      <c r="K1" s="2462"/>
      <c r="L1" s="2462"/>
      <c r="M1" s="2462"/>
    </row>
    <row r="2" spans="2:14" ht="15" x14ac:dyDescent="0.2">
      <c r="B2" s="2459">
        <f>'Single Audit Cover'!E7</f>
        <v>32000000046</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Kankakee Are Reg Voc Ed System</v>
      </c>
      <c r="C1" s="2477"/>
      <c r="D1" s="2477"/>
      <c r="E1" s="2477"/>
      <c r="F1" s="2477"/>
      <c r="G1" s="2477"/>
      <c r="H1" s="2477"/>
      <c r="I1" s="2477"/>
      <c r="J1" s="1422"/>
    </row>
    <row r="2" spans="2:10" s="317" customFormat="1" ht="12.75" customHeight="1" x14ac:dyDescent="0.2">
      <c r="B2" s="2478">
        <f>'Single Audit Cover'!E7</f>
        <v>32000000046</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1952</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Kankakee Are Reg Voc Ed System</v>
      </c>
      <c r="C1" s="2476"/>
      <c r="D1" s="2476"/>
      <c r="E1" s="2476"/>
      <c r="F1" s="2476"/>
      <c r="G1" s="2476"/>
      <c r="H1" s="2476"/>
      <c r="I1" s="2476"/>
      <c r="J1" s="2476"/>
      <c r="K1" s="2476"/>
      <c r="L1" s="1374"/>
      <c r="M1" s="1374"/>
    </row>
    <row r="2" spans="1:13" ht="12" customHeight="1" x14ac:dyDescent="0.2">
      <c r="B2" s="2478">
        <f>'Single Audit Cover'!E7</f>
        <v>32000000046</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Kankakee Are Reg Voc Ed System</v>
      </c>
      <c r="C1" s="2499"/>
      <c r="D1" s="2499"/>
      <c r="E1" s="2499"/>
      <c r="F1" s="2499"/>
      <c r="G1" s="2499"/>
      <c r="H1" s="2499"/>
      <c r="I1" s="2499"/>
      <c r="J1" s="2499"/>
      <c r="K1" s="2499"/>
      <c r="L1" s="1465"/>
    </row>
    <row r="2" spans="1:12" ht="12.75" customHeight="1" x14ac:dyDescent="0.2">
      <c r="B2" s="2500">
        <f>'Single Audit Cover'!E7</f>
        <v>32000000046</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Kankakee Are Reg Voc Ed System</v>
      </c>
      <c r="C1" s="2476"/>
      <c r="D1" s="2476"/>
      <c r="E1" s="1491"/>
    </row>
    <row r="2" spans="2:5" s="1282" customFormat="1" ht="12.75" customHeight="1" x14ac:dyDescent="0.2">
      <c r="B2" s="2478">
        <f>'Single Audit Cover'!E7</f>
        <v>32000000046</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1512260</v>
      </c>
      <c r="E16" s="356"/>
      <c r="F16" s="1755">
        <f>SUM('Acct Summary 7-8'!C17,'Acct Summary 7-8'!D17,'Acct Summary 7-8'!F17)</f>
        <v>1571791</v>
      </c>
      <c r="G16" s="356"/>
      <c r="H16" s="1755">
        <f>SUM(D16-F16)</f>
        <v>-59531</v>
      </c>
      <c r="I16" s="222"/>
      <c r="J16" s="1755">
        <f>SUM('Acct Summary 7-8'!C81,'Acct Summary 7-8'!D81,'Acct Summary 7-8'!F81,'Acct Summary 7-8'!I81)</f>
        <v>331389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Kankakee Are Reg Voc Ed System</v>
      </c>
      <c r="E7" s="391"/>
      <c r="G7" s="252"/>
      <c r="H7" s="387"/>
      <c r="I7" s="387"/>
      <c r="J7" s="387"/>
      <c r="K7" s="387"/>
      <c r="L7" s="329"/>
      <c r="M7" s="329"/>
      <c r="N7" s="329"/>
      <c r="O7" s="329"/>
      <c r="P7" s="329"/>
    </row>
    <row r="8" spans="1:18" ht="12.75" x14ac:dyDescent="0.2">
      <c r="A8" s="329"/>
      <c r="B8" s="329"/>
      <c r="C8" s="389" t="s">
        <v>1187</v>
      </c>
      <c r="D8" s="392">
        <f>COVER!A13</f>
        <v>32000000046</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331389</v>
      </c>
      <c r="I12" s="404"/>
      <c r="J12" s="404"/>
      <c r="K12" s="405">
        <f>TRUNC((H12/H13*100000),5)/100000</f>
        <v>0.21913493709999998</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1512260</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1571791</v>
      </c>
      <c r="I17" s="404"/>
      <c r="J17" s="416"/>
      <c r="K17" s="405">
        <f>TRUNC((H17/H18*100000),5)/100000</f>
        <v>1.0393655852000001</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1512260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3.0263727999999999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331389</v>
      </c>
      <c r="I24" s="422"/>
      <c r="J24" s="422"/>
      <c r="K24" s="423">
        <f>TRUNC(((H24/H25*100000)/100000),2)</f>
        <v>75.900000000000006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4366.0861100000002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4" activePane="bottomLeft" state="frozen"/>
      <selection activeCell="A47" sqref="A47"/>
      <selection pane="bottomLeft"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331389</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331389</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1494486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1494486</v>
      </c>
      <c r="N23" s="1710">
        <f>SUM(N21:N22)</f>
        <v>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331389</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1494486</v>
      </c>
      <c r="N40" s="497"/>
    </row>
    <row r="41" spans="1:14" ht="13.5" customHeight="1" thickBot="1" x14ac:dyDescent="0.25">
      <c r="A41" s="1758" t="s">
        <v>676</v>
      </c>
      <c r="B41" s="1728"/>
      <c r="C41" s="1710">
        <f>(SUM(C34,C37,C38,C39))</f>
        <v>331389</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1494486</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0</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1250787</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261473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1512260</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1512260</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232179</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177531</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1162081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1571791</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1571791</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2" t="s">
        <v>1754</v>
      </c>
      <c r="B20" s="2143"/>
      <c r="C20" s="1768">
        <f>C8-C17</f>
        <v>-59531</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-59531</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390920</v>
      </c>
      <c r="D79" s="535"/>
      <c r="E79" s="535"/>
      <c r="F79" s="535"/>
      <c r="G79" s="535"/>
      <c r="H79" s="535"/>
      <c r="I79" s="535"/>
      <c r="J79" s="535"/>
      <c r="K79" s="535"/>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331389</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-59531</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-0.17964084504917183</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0</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1250787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1250787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1250787</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1250787</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261473</v>
      </c>
      <c r="D227" s="466"/>
      <c r="E227" s="468"/>
      <c r="F227" s="468"/>
      <c r="G227" s="466"/>
      <c r="H227" s="468"/>
      <c r="I227" s="468"/>
      <c r="J227" s="468"/>
      <c r="K227" s="468"/>
    </row>
    <row r="228" spans="1:11" ht="12.75" customHeight="1" thickBot="1" x14ac:dyDescent="0.25">
      <c r="A228" s="1745" t="s">
        <v>1145</v>
      </c>
      <c r="B228" s="1746"/>
      <c r="C228" s="1729">
        <f>SUM(C226:C227)</f>
        <v>261473</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261473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261473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1512260</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 activePane="bottomLeft" state="frozen"/>
      <selection activeCell="A47" sqref="A47"/>
      <selection pane="bottomLeft" activeCell="G47" sqref="G4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69115</v>
      </c>
      <c r="D13" s="466">
        <v>7920</v>
      </c>
      <c r="E13" s="466">
        <v>12311</v>
      </c>
      <c r="F13" s="466">
        <v>2161</v>
      </c>
      <c r="G13" s="466">
        <v>140672</v>
      </c>
      <c r="H13" s="466"/>
      <c r="I13" s="467"/>
      <c r="J13" s="467"/>
      <c r="K13" s="1693">
        <f t="shared" si="0"/>
        <v>232179</v>
      </c>
      <c r="L13" s="466">
        <v>191280</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69115</v>
      </c>
      <c r="D33" s="1692">
        <f t="shared" ref="D33:L33" si="1">SUM(D5:D32)</f>
        <v>7920</v>
      </c>
      <c r="E33" s="1692">
        <f t="shared" si="1"/>
        <v>12311</v>
      </c>
      <c r="F33" s="1692">
        <f t="shared" si="1"/>
        <v>2161</v>
      </c>
      <c r="G33" s="1692">
        <f t="shared" si="1"/>
        <v>140672</v>
      </c>
      <c r="H33" s="1692">
        <f t="shared" si="1"/>
        <v>0</v>
      </c>
      <c r="I33" s="1692">
        <f t="shared" si="1"/>
        <v>0</v>
      </c>
      <c r="J33" s="1692">
        <f t="shared" si="1"/>
        <v>0</v>
      </c>
      <c r="K33" s="1692">
        <f t="shared" si="1"/>
        <v>232179</v>
      </c>
      <c r="L33" s="1692">
        <f t="shared" si="1"/>
        <v>191280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13677</v>
      </c>
      <c r="D37" s="466">
        <v>1658</v>
      </c>
      <c r="E37" s="466">
        <v>10080</v>
      </c>
      <c r="F37" s="466"/>
      <c r="G37" s="466"/>
      <c r="H37" s="466"/>
      <c r="I37" s="467"/>
      <c r="J37" s="467"/>
      <c r="K37" s="1693">
        <f t="shared" si="2"/>
        <v>25415</v>
      </c>
      <c r="L37" s="466">
        <v>26501</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13677</v>
      </c>
      <c r="D42" s="1692">
        <f t="shared" ref="D42:L42" si="3">SUM(D36:D41)</f>
        <v>1658</v>
      </c>
      <c r="E42" s="1692">
        <f t="shared" si="3"/>
        <v>10080</v>
      </c>
      <c r="F42" s="1692">
        <f t="shared" si="3"/>
        <v>0</v>
      </c>
      <c r="G42" s="1692">
        <f t="shared" si="3"/>
        <v>0</v>
      </c>
      <c r="H42" s="1692">
        <f t="shared" si="3"/>
        <v>0</v>
      </c>
      <c r="I42" s="1692">
        <f t="shared" si="3"/>
        <v>0</v>
      </c>
      <c r="J42" s="1692">
        <f t="shared" si="3"/>
        <v>0</v>
      </c>
      <c r="K42" s="1692">
        <f t="shared" si="3"/>
        <v>25415</v>
      </c>
      <c r="L42" s="1692">
        <f t="shared" si="3"/>
        <v>26501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37709</v>
      </c>
      <c r="D44" s="481">
        <v>10561</v>
      </c>
      <c r="E44" s="481">
        <v>9126</v>
      </c>
      <c r="F44" s="481">
        <v>1437</v>
      </c>
      <c r="G44" s="481"/>
      <c r="H44" s="481"/>
      <c r="I44" s="467"/>
      <c r="J44" s="467"/>
      <c r="K44" s="1694">
        <f>SUM(C44:J44)</f>
        <v>58833</v>
      </c>
      <c r="L44" s="481">
        <v>64455</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v>1960</v>
      </c>
      <c r="G46" s="466" t="s">
        <v>1231</v>
      </c>
      <c r="H46" s="466"/>
      <c r="I46" s="467"/>
      <c r="J46" s="467"/>
      <c r="K46" s="1694">
        <f>SUM(C46:J46)</f>
        <v>1960</v>
      </c>
      <c r="L46" s="466">
        <v>18500</v>
      </c>
    </row>
    <row r="47" spans="1:14" ht="12.75" customHeight="1" thickBot="1" x14ac:dyDescent="0.25">
      <c r="A47" s="1690" t="s">
        <v>582</v>
      </c>
      <c r="B47" s="1691" t="s">
        <v>32</v>
      </c>
      <c r="C47" s="1692">
        <f>SUM(C44:C46)</f>
        <v>37709</v>
      </c>
      <c r="D47" s="1692">
        <f t="shared" ref="D47:K47" si="4">SUM(D44:D46)</f>
        <v>10561</v>
      </c>
      <c r="E47" s="1692">
        <f t="shared" si="4"/>
        <v>9126</v>
      </c>
      <c r="F47" s="1692">
        <f t="shared" si="4"/>
        <v>3397</v>
      </c>
      <c r="G47" s="1692">
        <f t="shared" si="4"/>
        <v>0</v>
      </c>
      <c r="H47" s="1692">
        <f t="shared" si="4"/>
        <v>0</v>
      </c>
      <c r="I47" s="1692">
        <f t="shared" si="4"/>
        <v>0</v>
      </c>
      <c r="J47" s="1692">
        <f t="shared" si="4"/>
        <v>0</v>
      </c>
      <c r="K47" s="1692">
        <f t="shared" si="4"/>
        <v>60793</v>
      </c>
      <c r="L47" s="1692">
        <f>SUM(L44:L46)</f>
        <v>82955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50876</v>
      </c>
      <c r="D49" s="481">
        <v>19615</v>
      </c>
      <c r="E49" s="481">
        <v>2850</v>
      </c>
      <c r="F49" s="481"/>
      <c r="G49" s="481"/>
      <c r="H49" s="481"/>
      <c r="I49" s="467"/>
      <c r="J49" s="467"/>
      <c r="K49" s="1694">
        <f>SUM(C49:J49)</f>
        <v>73341</v>
      </c>
      <c r="L49" s="481">
        <v>74827</v>
      </c>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50876</v>
      </c>
      <c r="D53" s="1692">
        <f t="shared" ref="D53:L53" si="5">SUM(D49:D52)</f>
        <v>19615</v>
      </c>
      <c r="E53" s="1692">
        <f t="shared" si="5"/>
        <v>2850</v>
      </c>
      <c r="F53" s="1692">
        <f t="shared" si="5"/>
        <v>0</v>
      </c>
      <c r="G53" s="1692">
        <f t="shared" si="5"/>
        <v>0</v>
      </c>
      <c r="H53" s="1692">
        <f t="shared" si="5"/>
        <v>0</v>
      </c>
      <c r="I53" s="1692">
        <f t="shared" si="5"/>
        <v>0</v>
      </c>
      <c r="J53" s="1692">
        <f t="shared" si="5"/>
        <v>0</v>
      </c>
      <c r="K53" s="1692">
        <f t="shared" si="5"/>
        <v>73341</v>
      </c>
      <c r="L53" s="1692">
        <f t="shared" si="5"/>
        <v>74827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10308</v>
      </c>
      <c r="D60" s="466">
        <v>1637</v>
      </c>
      <c r="E60" s="466">
        <v>6037</v>
      </c>
      <c r="F60" s="466"/>
      <c r="G60" s="466"/>
      <c r="H60" s="466"/>
      <c r="I60" s="467"/>
      <c r="J60" s="467"/>
      <c r="K60" s="1694">
        <f t="shared" si="7"/>
        <v>17982</v>
      </c>
      <c r="L60" s="466">
        <v>18056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10308</v>
      </c>
      <c r="D65" s="1692">
        <f t="shared" ref="D65:L65" si="8">SUM(D59:D64)</f>
        <v>1637</v>
      </c>
      <c r="E65" s="1692">
        <f t="shared" si="8"/>
        <v>6037</v>
      </c>
      <c r="F65" s="1692">
        <f t="shared" si="8"/>
        <v>0</v>
      </c>
      <c r="G65" s="1692">
        <f t="shared" si="8"/>
        <v>0</v>
      </c>
      <c r="H65" s="1692">
        <f t="shared" si="8"/>
        <v>0</v>
      </c>
      <c r="I65" s="1692">
        <f t="shared" si="8"/>
        <v>0</v>
      </c>
      <c r="J65" s="1692">
        <f t="shared" si="8"/>
        <v>0</v>
      </c>
      <c r="K65" s="1692">
        <f t="shared" si="8"/>
        <v>17982</v>
      </c>
      <c r="L65" s="1692">
        <f t="shared" si="8"/>
        <v>18056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112570</v>
      </c>
      <c r="D74" s="1699">
        <f t="shared" ref="D74:K74" si="10">SUM(D42,D47,D53,D57,D65,D72,D73)</f>
        <v>33471</v>
      </c>
      <c r="E74" s="1699">
        <f t="shared" si="10"/>
        <v>28093</v>
      </c>
      <c r="F74" s="1699">
        <f t="shared" si="10"/>
        <v>3397</v>
      </c>
      <c r="G74" s="1699">
        <f t="shared" si="10"/>
        <v>0</v>
      </c>
      <c r="H74" s="1699">
        <f t="shared" si="10"/>
        <v>0</v>
      </c>
      <c r="I74" s="1699">
        <f t="shared" si="10"/>
        <v>0</v>
      </c>
      <c r="J74" s="1699">
        <f t="shared" si="10"/>
        <v>0</v>
      </c>
      <c r="K74" s="1699">
        <f t="shared" si="10"/>
        <v>177531</v>
      </c>
      <c r="L74" s="1699">
        <f>SUM(L42,L47,L53,L57,L65,L72,L73)</f>
        <v>202339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1162081</v>
      </c>
      <c r="I81" s="477"/>
      <c r="J81" s="477"/>
      <c r="K81" s="1693">
        <f t="shared" si="11"/>
        <v>1162081</v>
      </c>
      <c r="L81" s="466">
        <v>1258213</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1162081</v>
      </c>
      <c r="I84" s="477"/>
      <c r="J84" s="477"/>
      <c r="K84" s="1692">
        <f>SUM(K78:K83)</f>
        <v>1162081</v>
      </c>
      <c r="L84" s="1692">
        <f>SUM(L78:L83)</f>
        <v>1258213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1162081</v>
      </c>
      <c r="I102" s="477"/>
      <c r="J102" s="477"/>
      <c r="K102" s="1699">
        <f>SUM(K84,K92,K100,K101)</f>
        <v>1162081</v>
      </c>
      <c r="L102" s="1699">
        <f>SUM(L84,L92,L100,L101)</f>
        <v>1258213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t="s">
        <v>1231</v>
      </c>
      <c r="M113" s="614"/>
      <c r="N113" s="614"/>
    </row>
    <row r="114" spans="1:14" ht="12.75" customHeight="1" thickTop="1" thickBot="1" x14ac:dyDescent="0.25">
      <c r="A114" s="1690" t="s">
        <v>50</v>
      </c>
      <c r="B114" s="1704"/>
      <c r="C114" s="1692">
        <f>SUM(C33,C74,C75,C102,C112,C113)</f>
        <v>181685</v>
      </c>
      <c r="D114" s="1692">
        <f t="shared" ref="D114:K114" si="13">SUM(D33,D74,D75,D102,D112,D113)</f>
        <v>41391</v>
      </c>
      <c r="E114" s="1692">
        <f t="shared" si="13"/>
        <v>40404</v>
      </c>
      <c r="F114" s="1692">
        <f t="shared" si="13"/>
        <v>5558</v>
      </c>
      <c r="G114" s="1692">
        <f t="shared" si="13"/>
        <v>140672</v>
      </c>
      <c r="H114" s="1692">
        <f>SUM(H33,H74,H75,H102,H112,H113)</f>
        <v>1162081</v>
      </c>
      <c r="I114" s="1692">
        <f t="shared" si="13"/>
        <v>0</v>
      </c>
      <c r="J114" s="1692">
        <f t="shared" si="13"/>
        <v>0</v>
      </c>
      <c r="K114" s="1692">
        <f t="shared" si="13"/>
        <v>1571791</v>
      </c>
      <c r="L114" s="1692">
        <f>SUM(L33,L74,L75,L102,L112,L113)</f>
        <v>1651832</v>
      </c>
    </row>
    <row r="115" spans="1:14" ht="13.5" thickTop="1" x14ac:dyDescent="0.2">
      <c r="A115" s="2197" t="s">
        <v>1053</v>
      </c>
      <c r="B115" s="2198"/>
      <c r="C115" s="619"/>
      <c r="D115" s="619"/>
      <c r="E115" s="619"/>
      <c r="F115" s="619"/>
      <c r="G115" s="619"/>
      <c r="H115" s="619"/>
      <c r="I115" s="619"/>
      <c r="J115" s="619"/>
      <c r="K115" s="1706">
        <f>'Revenues 9-14'!C275-'Expenditures 15-22'!K114</f>
        <v>-59531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7" t="s">
        <v>641</v>
      </c>
      <c r="B151" s="2169"/>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0" t="s">
        <v>1240</v>
      </c>
      <c r="B152" s="2191"/>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7" t="s">
        <v>1053</v>
      </c>
      <c r="B175" s="2198"/>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7" t="s">
        <v>1053</v>
      </c>
      <c r="B211" s="2198"/>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7" t="s">
        <v>1053</v>
      </c>
      <c r="B296" s="2198"/>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3" t="s">
        <v>1053</v>
      </c>
      <c r="B343" s="2184"/>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7" t="s">
        <v>1053</v>
      </c>
      <c r="B368" s="2198"/>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schemas.microsoft.com/office/2006/documentManagement/types"/>
    <ds:schemaRef ds:uri="http://purl.org/dc/elements/1.1/"/>
    <ds:schemaRef ds:uri="http://schemas.microsoft.com/sharepoint/v3"/>
    <ds:schemaRef ds:uri="http://schemas.microsoft.com/office/infopath/2007/PartnerControls"/>
    <ds:schemaRef ds:uri="http://schemas.openxmlformats.org/package/2006/metadata/core-properties"/>
    <ds:schemaRef ds:uri="http://schemas.microsoft.com/office/2006/metadata/properties"/>
    <ds:schemaRef ds:uri="4d435f69-8686-490b-bd6d-b153bf22ab50"/>
    <ds:schemaRef ds:uri="d21dc803-237d-4c68-8692-8d731fd29118"/>
    <ds:schemaRef ds:uri="http://purl.org/dc/dcmitype/"/>
    <ds:schemaRef ds:uri="6ce3111e-7420-4802-b50a-75d4e9a0b98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Sheet1</vt:lpstr>
      <vt:lpstr>Sheet2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2018-09-25T14:44:31Z</cp:lastPrinted>
  <dcterms:created xsi:type="dcterms:W3CDTF">2003-10-29T19:06:34Z</dcterms:created>
  <dcterms:modified xsi:type="dcterms:W3CDTF">2018-12-03T21:28:16Z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