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updateLinks="never" codeName="ThisWorkbook" defaultThemeVersion="124226"/>
  <mc:AlternateContent xmlns:mc="http://schemas.openxmlformats.org/markup-compatibility/2006">
    <mc:Choice Requires="x15">
      <x15ac:absPath xmlns:x15ac="http://schemas.microsoft.com/office/spreadsheetml/2010/11/ac" url="X:\AFR2018DTA\AFR18_New Emails\Emails 5-02-2019\"/>
    </mc:Choice>
  </mc:AlternateContent>
  <bookViews>
    <workbookView xWindow="0" yWindow="0" windowWidth="23040" windowHeight="9660" tabRatio="959" firstSheet="13" activeTab="2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Sheet1" sheetId="183" r:id="rId10"/>
    <sheet name="Sheet2" sheetId="184" r:id="rId11"/>
    <sheet name="Tax Sched 23" sheetId="7" r:id="rId12"/>
    <sheet name="Short-Term Long-Term Debt 24" sheetId="8" r:id="rId13"/>
    <sheet name="Rest Tax Levies-Tort Im 25" sheetId="12" r:id="rId14"/>
    <sheet name="Cap Outlay Deprec 26" sheetId="11" r:id="rId15"/>
    <sheet name="PCTC-OEPP 27-28" sheetId="34" r:id="rId16"/>
    <sheet name="Contracts Paid in CY 29" sheetId="181" r:id="rId17"/>
    <sheet name="ICR Computation 30" sheetId="108" r:id="rId18"/>
    <sheet name="Shared Outsourced Services 31" sheetId="182" r:id="rId19"/>
    <sheet name="AC32" sheetId="145" r:id="rId20"/>
    <sheet name="Itemization 33" sheetId="127" r:id="rId21"/>
    <sheet name="REF 34" sheetId="117" r:id="rId22"/>
    <sheet name="Opinion-Notes 35" sheetId="129" r:id="rId23"/>
    <sheet name="DeficitAFRSum Calc 36" sheetId="146" r:id="rId24"/>
    <sheet name="AUDITCHECK" sheetId="36" r:id="rId25"/>
    <sheet name="AFR18" sheetId="106" state="hidden" r:id="rId26"/>
    <sheet name="Single Audit Cover" sheetId="169" r:id="rId27"/>
    <sheet name="Single Audit Checklist" sheetId="170" r:id="rId28"/>
    <sheet name="SEFA Reconcile" sheetId="171" r:id="rId29"/>
    <sheet name="SEFA NOTES" sheetId="173" r:id="rId30"/>
    <sheet name=" SEFA" sheetId="179" r:id="rId31"/>
    <sheet name="SF&amp;QC Sec-1" sheetId="174" r:id="rId32"/>
    <sheet name="SF&amp;QC Sec-2" sheetId="175" r:id="rId33"/>
    <sheet name="SF&amp;QC Sec-3" sheetId="176" r:id="rId34"/>
    <sheet name="SSPAF" sheetId="177" r:id="rId35"/>
  </sheets>
  <definedNames>
    <definedName name="_xlnm.Print_Area" localSheetId="30">' SEFA'!$B$1:$M$46</definedName>
    <definedName name="_xlnm.Print_Area" localSheetId="29">'SEFA NOTES'!$A$1:$F$52</definedName>
    <definedName name="_xlnm.Print_Area" localSheetId="28">'SEFA Reconcile'!$A$1:$E$49</definedName>
    <definedName name="_xlnm.Print_Area" localSheetId="31">'SF&amp;QC Sec-1'!$A$1:$J$63</definedName>
    <definedName name="_xlnm.Print_Area" localSheetId="33">'SF&amp;QC Sec-3'!$A$1:$K$52</definedName>
    <definedName name="_xlnm.Print_Area" localSheetId="27">'Single Audit Checklist'!$A$1:$D$124</definedName>
    <definedName name="_xlnm.Print_Area" localSheetId="26">'Single Audit Cover'!$A$1:$L$52</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6">'Contracts Paid in CY 29'!$15:$15</definedName>
    <definedName name="_xlnm.Print_Titles" localSheetId="8">'Expenditures 15-22'!$A:$B,'Expenditures 15-22'!$1:$2</definedName>
    <definedName name="_xlnm.Print_Titles" localSheetId="15">'PCTC-OEPP 27-28'!$1:$5</definedName>
    <definedName name="_xlnm.Print_Titles" localSheetId="7">'Revenues 9-14'!$A:$B,'Revenues 9-14'!$1:$2</definedName>
    <definedName name="_xlnm.Print_Titles" localSheetId="18">'Shared Outsourced Services 31'!$5:$5</definedName>
    <definedName name="_xlnm.Print_Titles" localSheetId="27">'Single Audit Checklist'!$1:$4</definedName>
    <definedName name="SCHADDRS" localSheetId="30">#REF!</definedName>
    <definedName name="SCHADDRS" localSheetId="19">#REF!</definedName>
    <definedName name="SCHADDRS" localSheetId="23">#REF!</definedName>
    <definedName name="SCHADDRS" localSheetId="4">#REF!</definedName>
    <definedName name="SCHADDRS" localSheetId="29">#REF!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30">#REF!</definedName>
    <definedName name="SCHCTY" localSheetId="19">#REF!</definedName>
    <definedName name="SCHCTY" localSheetId="23">#REF!</definedName>
    <definedName name="SCHCTY" localSheetId="4">#REF!</definedName>
    <definedName name="SCHCTY" localSheetId="29">#REF!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30">#REF!</definedName>
    <definedName name="SCHNMBR" localSheetId="19">#REF!</definedName>
    <definedName name="SCHNMBR" localSheetId="23">#REF!</definedName>
    <definedName name="SCHNMBR" localSheetId="4">#REF!</definedName>
    <definedName name="SCHNMBR" localSheetId="29">#REF!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30">#REF!</definedName>
    <definedName name="SCHNME" localSheetId="19">#REF!</definedName>
    <definedName name="SCHNME" localSheetId="23">#REF!</definedName>
    <definedName name="SCHNME" localSheetId="4">#REF!</definedName>
    <definedName name="SCHNME" localSheetId="29">#REF!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30">#REF!</definedName>
    <definedName name="SUPT" localSheetId="19">#REF!</definedName>
    <definedName name="SUPT" localSheetId="23">#REF!</definedName>
    <definedName name="SUPT" localSheetId="4">#REF!</definedName>
    <definedName name="SUPT" localSheetId="29">#REF!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c r="B5104" i="106"/>
  <c r="D5104" i="106"/>
  <c r="B5105" i="106"/>
  <c r="D5105" i="106"/>
  <c r="B5106" i="106"/>
  <c r="D5106" i="106"/>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E27" i="108"/>
  <c r="G27" i="108"/>
  <c r="F31" i="108"/>
  <c r="F36" i="108"/>
  <c r="F37" i="108"/>
  <c r="G28" i="108"/>
  <c r="E30" i="108"/>
  <c r="G30"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E4" i="4"/>
  <c r="B2630" i="106" s="1"/>
  <c r="D2630"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1" i="34"/>
  <c r="F130" i="34"/>
  <c r="F128" i="34"/>
  <c r="F127" i="34"/>
  <c r="B5847" i="106"/>
  <c r="D5847" i="106" s="1"/>
  <c r="B5752" i="106"/>
  <c r="D5752" i="106" s="1"/>
  <c r="B5599" i="106"/>
  <c r="D5599" i="106" s="1"/>
  <c r="G4" i="4"/>
  <c r="B2603" i="106" s="1"/>
  <c r="D2603" i="106" s="1"/>
  <c r="K274" i="5"/>
  <c r="H173" i="5"/>
  <c r="B5906" i="106" s="1"/>
  <c r="D5906" i="106" s="1"/>
  <c r="H109" i="5"/>
  <c r="B6025" i="106" s="1"/>
  <c r="D6025" i="106" s="1"/>
  <c r="D109" i="5"/>
  <c r="B5356" i="106" s="1"/>
  <c r="D5356" i="106" s="1"/>
  <c r="D7" i="7"/>
  <c r="B1763" i="106" s="1"/>
  <c r="D1763" i="106" s="1"/>
  <c r="H4" i="4"/>
  <c r="B2655" i="106" s="1"/>
  <c r="D2655"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B1996" i="106"/>
  <c r="D1996" i="106" s="1"/>
  <c r="I26" i="12"/>
  <c r="B7741" i="106" s="1"/>
  <c r="D7741" i="106" s="1"/>
  <c r="I274" i="5"/>
  <c r="L342" i="29"/>
  <c r="K350" i="29"/>
  <c r="K24" i="12"/>
  <c r="K28" i="118"/>
  <c r="O27" i="118" s="1"/>
  <c r="O29" i="118" s="1"/>
  <c r="B7041" i="106"/>
  <c r="D7041" i="106" s="1"/>
  <c r="K173" i="5"/>
  <c r="K6" i="4" s="1"/>
  <c r="B3570" i="106" s="1"/>
  <c r="D3570" i="106" s="1"/>
  <c r="B7235" i="106"/>
  <c r="D7235" i="106" s="1"/>
  <c r="B3621" i="106"/>
  <c r="D3621" i="106" s="1"/>
  <c r="C367" i="29"/>
  <c r="B1410" i="106"/>
  <c r="D1410" i="106" s="1"/>
  <c r="H6" i="4"/>
  <c r="B2656" i="106" s="1"/>
  <c r="D2656" i="106" s="1"/>
  <c r="L312" i="29"/>
  <c r="K76" i="4"/>
  <c r="B3586" i="106" s="1"/>
  <c r="D3586" i="106" s="1"/>
  <c r="G210" i="29"/>
  <c r="B1365" i="106" s="1"/>
  <c r="D1365" i="106" s="1"/>
  <c r="E174" i="29"/>
  <c r="B1309" i="106" s="1"/>
  <c r="D1309" i="106" s="1"/>
  <c r="B3649" i="106"/>
  <c r="D3649" i="106" s="1"/>
  <c r="G367" i="29"/>
  <c r="B1329" i="106"/>
  <c r="D1329" i="106" s="1"/>
  <c r="F61" i="34"/>
  <c r="F37" i="34"/>
  <c r="D54" i="36"/>
  <c r="L5" i="11"/>
  <c r="B2056" i="106" s="1"/>
  <c r="D2056" i="106" s="1"/>
  <c r="G29" i="108"/>
  <c r="G38" i="108"/>
  <c r="E29" i="108"/>
  <c r="F65" i="34"/>
  <c r="E38" i="108"/>
  <c r="K184" i="29"/>
  <c r="F13" i="4" s="1"/>
  <c r="B2596" i="106" s="1"/>
  <c r="D2596" i="106" s="1"/>
  <c r="F28" i="108"/>
  <c r="E28" i="108"/>
  <c r="C172" i="5"/>
  <c r="B5214" i="106" s="1"/>
  <c r="D5214" i="106" s="1"/>
  <c r="F111" i="34"/>
  <c r="D4" i="4"/>
  <c r="B2564" i="106" s="1"/>
  <c r="D2564" i="106" s="1"/>
  <c r="C109" i="5"/>
  <c r="B5121" i="106" s="1"/>
  <c r="D5121" i="106" s="1"/>
  <c r="F106" i="34"/>
  <c r="L13" i="11"/>
  <c r="B2060" i="106" s="1"/>
  <c r="D2060" i="106" s="1"/>
  <c r="F27" i="108"/>
  <c r="F136" i="34"/>
  <c r="C173" i="5"/>
  <c r="B5223" i="106" s="1"/>
  <c r="D5223"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B7733" i="106" l="1"/>
  <c r="D7733" i="106" s="1"/>
  <c r="K26" i="12"/>
  <c r="B7743" i="106" s="1"/>
  <c r="D7743" i="106" s="1"/>
  <c r="H367" i="29"/>
  <c r="B3660" i="106" s="1"/>
  <c r="D3660" i="106" s="1"/>
  <c r="B3670" i="106"/>
  <c r="D3670" i="106" s="1"/>
  <c r="K352" i="29"/>
  <c r="K367" i="29"/>
  <c r="K342" i="29"/>
  <c r="F13" i="34" s="1"/>
  <c r="D44" i="36"/>
  <c r="F41" i="108"/>
  <c r="G43" i="108" s="1"/>
  <c r="B1381" i="106"/>
  <c r="D1381" i="106" s="1"/>
  <c r="C6" i="4"/>
  <c r="B2553" i="106" s="1"/>
  <c r="D2553" i="106" s="1"/>
  <c r="C4" i="4"/>
  <c r="B2551" i="106" s="1"/>
  <c r="D2551" i="106" s="1"/>
  <c r="L16" i="11"/>
  <c r="B2061" i="106" s="1"/>
  <c r="D2061"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K13" i="4"/>
  <c r="B3572" i="106" s="1"/>
  <c r="D3572" i="106" s="1"/>
  <c r="B3672" i="106"/>
  <c r="D3672" i="106" s="1"/>
  <c r="B1145" i="106"/>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<sst xmlns="http://schemas.openxmlformats.org/spreadsheetml/2006/main" count="5022" uniqueCount="2094">
  <si>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</si>
  <si>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</si>
  <si>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</si>
  <si>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</si>
  <si>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</si>
  <si>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</si>
  <si>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</si>
  <si>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</si>
  <si>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</si>
  <si>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</si>
  <si>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</si>
  <si>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</si>
  <si>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</si>
  <si>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</si>
  <si>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</si>
  <si>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</si>
  <si>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</si>
  <si>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</si>
  <si>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</si>
  <si>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</si>
  <si>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</si>
  <si>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</si>
  <si>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</si>
  <si>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</si>
  <si>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</si>
  <si>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</si>
  <si>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</si>
  <si>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</si>
  <si>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</si>
  <si>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</si>
  <si>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</si>
  <si>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</si>
  <si>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</si>
  <si>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</si>
  <si>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</si>
  <si>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</si>
  <si>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</si>
  <si>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</si>
  <si>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</si>
  <si>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</si>
  <si>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</si>
  <si>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</si>
  <si>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</si>
  <si>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</si>
  <si>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</si>
  <si>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</si>
  <si>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</si>
  <si>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</si>
  <si>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</si>
  <si>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</si>
  <si>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</si>
  <si>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</si>
  <si>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</si>
  <si>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</si>
  <si>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</si>
  <si>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</si>
  <si>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</si>
  <si>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</si>
  <si>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</si>
  <si>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</si>
  <si>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</si>
  <si>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</si>
  <si>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</si>
  <si>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</si>
  <si>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</si>
  <si>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</si>
  <si>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</si>
  <si>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</si>
  <si>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</si>
  <si>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</si>
  <si>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</si>
  <si>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</si>
  <si>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</si>
  <si>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</si>
  <si>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</si>
  <si>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</si>
  <si>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</si>
  <si>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</si>
  <si>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</si>
  <si>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</si>
  <si>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</si>
  <si>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</si>
  <si>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</si>
  <si>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</si>
  <si>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</si>
  <si>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</si>
  <si>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</si>
  <si>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</si>
  <si>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</si>
  <si>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</si>
  <si>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</si>
  <si>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</si>
  <si>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</si>
  <si>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</si>
  <si>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</si>
  <si>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</si>
  <si>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</si>
  <si>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</si>
  <si>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</si>
  <si>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</si>
  <si>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</si>
  <si>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</si>
  <si>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</si>
  <si>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</si>
  <si>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</si>
  <si>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</si>
  <si>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</si>
  <si>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</si>
  <si>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</si>
  <si>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</si>
  <si>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</si>
  <si>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</si>
  <si>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</si>
  <si>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</si>
  <si>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</si>
  <si>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</si>
  <si>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</si>
  <si>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</si>
  <si>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</si>
  <si>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</si>
  <si>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</si>
  <si>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</si>
  <si>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</si>
  <si>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</si>
  <si>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</si>
  <si>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</si>
  <si>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</si>
  <si>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</si>
  <si>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</si>
  <si>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</si>
  <si>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</si>
  <si>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</si>
  <si>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</si>
  <si>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</si>
  <si>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</si>
  <si>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</si>
  <si>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</si>
  <si>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</si>
  <si>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</si>
  <si>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</si>
  <si>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</si>
  <si>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</si>
  <si>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</si>
  <si>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</si>
  <si>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</si>
  <si>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</si>
  <si>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</si>
  <si>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</si>
  <si>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</si>
  <si>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</si>
  <si>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</si>
  <si>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</si>
  <si>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</si>
  <si>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</si>
  <si>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</si>
  <si>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</si>
  <si>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</si>
  <si>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</si>
  <si>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</si>
  <si>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</si>
  <si>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</si>
  <si>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</si>
  <si>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</si>
  <si>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</si>
  <si>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</si>
  <si>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</si>
  <si>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</si>
  <si>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</si>
  <si>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</si>
  <si>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</si>
  <si>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</si>
  <si>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</si>
  <si>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</si>
  <si>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</si>
  <si>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</si>
  <si>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</si>
  <si>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</si>
  <si>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</si>
  <si>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</si>
  <si>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</si>
  <si>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</si>
  <si>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</si>
  <si>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</si>
  <si>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</si>
  <si>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</si>
  <si>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</si>
  <si>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</si>
  <si>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</si>
  <si>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</si>
  <si>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</si>
  <si>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</si>
  <si>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</si>
  <si>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</si>
  <si>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</si>
  <si>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</si>
  <si>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</si>
  <si>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</si>
  <si>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</si>
  <si>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</si>
  <si>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</si>
  <si>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</si>
  <si>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</si>
  <si>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</si>
  <si>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</si>
  <si>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</si>
  <si>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</si>
  <si>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</si>
  <si>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</si>
  <si>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</si>
  <si>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</si>
  <si>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</si>
  <si>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</si>
  <si>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</si>
  <si>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</si>
  <si>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</si>
  <si>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</si>
  <si>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</si>
  <si>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</si>
  <si>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</si>
  <si>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</si>
  <si>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</si>
  <si>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</si>
  <si>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</si>
  <si>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</si>
  <si>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</si>
  <si>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</si>
  <si>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</si>
  <si>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</si>
  <si>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</si>
  <si>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</si>
  <si>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</si>
  <si>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</si>
  <si>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</si>
  <si>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</si>
  <si>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</si>
  <si>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</si>
  <si>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</si>
  <si>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</si>
  <si>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</si>
  <si>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</si>
  <si>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</si>
  <si>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</si>
  <si>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</si>
  <si>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</si>
  <si>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</si>
  <si>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</si>
  <si>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</si>
  <si>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</si>
  <si>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</si>
  <si>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</si>
  <si>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</si>
  <si>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</si>
  <si>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</si>
  <si>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</si>
  <si>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</si>
  <si>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</si>
  <si>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</si>
  <si>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</si>
  <si>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</si>
  <si>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</si>
  <si>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</si>
  <si>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</si>
  <si>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</si>
  <si>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</si>
  <si>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</si>
  <si>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</si>
  <si>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</si>
  <si>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</si>
  <si>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</si>
  <si>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</si>
  <si>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</si>
  <si>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</si>
  <si>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</si>
  <si>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</si>
  <si>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</si>
  <si>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</si>
  <si>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</si>
  <si>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</si>
  <si>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</si>
  <si>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</si>
  <si>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</si>
  <si>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</si>
  <si>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</si>
  <si>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</si>
  <si>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</si>
  <si>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</si>
  <si>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</si>
  <si>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</si>
  <si>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</si>
  <si>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</si>
  <si>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</si>
  <si>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</si>
  <si>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</si>
  <si>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</si>
  <si>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</si>
  <si>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</si>
  <si>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</si>
  <si>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</si>
  <si>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</si>
  <si>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</si>
  <si>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</si>
  <si>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</si>
  <si>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</si>
  <si>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</si>
  <si>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</si>
  <si>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</si>
  <si>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</si>
  <si>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</si>
  <si>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</si>
  <si>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</si>
  <si>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</si>
  <si>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</si>
  <si>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</si>
  <si>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</si>
  <si>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</si>
  <si>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</si>
  <si>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</si>
  <si>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</si>
  <si>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</si>
  <si>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</si>
  <si>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</si>
  <si>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</si>
  <si>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</si>
  <si>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</si>
  <si>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</si>
  <si>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</si>
  <si>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</si>
  <si>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</si>
  <si>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</si>
  <si>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</si>
  <si>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</si>
  <si>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</si>
  <si>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</si>
  <si>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</si>
  <si>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</si>
  <si>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</si>
  <si>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</si>
  <si>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</si>
  <si>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</si>
  <si>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</si>
  <si>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</si>
  <si>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</si>
  <si>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</si>
  <si>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</si>
  <si>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</si>
  <si>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</si>
  <si>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</si>
  <si>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</si>
  <si>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</si>
  <si>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</si>
  <si>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</si>
  <si>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</si>
  <si>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</si>
  <si>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</si>
  <si>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</si>
  <si>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</si>
  <si>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</si>
  <si>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</si>
  <si>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</si>
  <si>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</si>
  <si>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</si>
  <si>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</si>
  <si>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</si>
  <si>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</si>
  <si>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</si>
  <si>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</si>
  <si>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</si>
  <si>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</si>
  <si>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</si>
  <si>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</si>
  <si>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</si>
  <si>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</si>
  <si>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</si>
  <si>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</si>
  <si>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</si>
  <si>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</si>
  <si>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</si>
  <si>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</si>
  <si>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</si>
  <si>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</si>
  <si>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</si>
  <si>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</si>
  <si>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</si>
  <si>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</si>
  <si>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</si>
  <si>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</si>
  <si>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</si>
  <si>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</si>
  <si>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</si>
  <si>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</si>
  <si>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</si>
  <si>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</si>
  <si>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</si>
  <si>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</si>
  <si>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</si>
  <si>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</si>
  <si>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</si>
  <si>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</si>
  <si>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</si>
  <si>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</si>
  <si>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</si>
  <si>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</si>
  <si>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</si>
  <si>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</si>
  <si>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</si>
  <si>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</si>
  <si>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</si>
  <si>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</si>
  <si>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</si>
  <si>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</si>
  <si>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</si>
  <si>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</si>
  <si>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</si>
  <si>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</si>
  <si>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</si>
  <si>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</si>
  <si>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</si>
  <si>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</si>
  <si>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</si>
  <si>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</si>
  <si>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</si>
  <si>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</si>
  <si>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</si>
  <si>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</si>
  <si>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</si>
  <si>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</si>
  <si>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</si>
  <si>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</si>
  <si>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</si>
  <si>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</si>
  <si>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</si>
  <si>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</si>
  <si>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</si>
  <si>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</si>
  <si>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</si>
  <si>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</si>
  <si>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</si>
  <si>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</si>
  <si>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</si>
  <si>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</si>
  <si>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</si>
  <si>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</si>
  <si>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</si>
  <si>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</si>
  <si>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</si>
  <si>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</si>
  <si>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</si>
  <si>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</si>
  <si>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</si>
  <si>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</si>
  <si>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</si>
  <si>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</si>
  <si>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</si>
  <si>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</si>
  <si>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</si>
  <si>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</si>
  <si>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</si>
  <si>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</si>
  <si>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</si>
  <si>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</si>
  <si>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</si>
  <si>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</si>
  <si>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</si>
  <si>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</si>
  <si>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</si>
  <si>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</si>
  <si>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</si>
  <si>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</si>
  <si>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</si>
  <si>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</si>
  <si>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</si>
  <si>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</si>
  <si>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</si>
  <si>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</si>
  <si>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</si>
  <si>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</si>
  <si>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</si>
  <si>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</si>
  <si>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</si>
  <si>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</si>
  <si>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</si>
  <si>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</si>
  <si>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</si>
  <si>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</si>
  <si>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</si>
  <si>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</si>
  <si>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</si>
  <si>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</si>
  <si>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</si>
  <si>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</si>
  <si>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</si>
  <si>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</si>
  <si>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</si>
  <si>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</si>
  <si>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</si>
  <si>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</si>
  <si>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</si>
  <si>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</si>
  <si>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</si>
  <si>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</si>
  <si>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</si>
  <si>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</si>
  <si>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</si>
  <si>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</si>
  <si>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</si>
  <si>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</si>
  <si>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</si>
  <si>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</si>
  <si>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</si>
  <si>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</si>
  <si>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</si>
  <si>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</si>
  <si>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</si>
  <si>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</si>
  <si>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</si>
  <si>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</si>
  <si>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</si>
  <si>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</si>
  <si>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</si>
  <si>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</si>
  <si>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</si>
  <si>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</si>
  <si>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</si>
  <si>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</si>
  <si>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</si>
  <si>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</si>
  <si>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</si>
  <si>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</si>
  <si>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</si>
  <si>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</si>
  <si>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</si>
  <si>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</si>
  <si>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</si>
  <si>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</si>
  <si>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</si>
  <si>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</si>
  <si>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</si>
  <si>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</si>
  <si>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</si>
  <si>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</si>
  <si>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</si>
  <si>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</si>
  <si>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</si>
  <si>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</si>
  <si>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</si>
  <si>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</si>
  <si>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</si>
  <si>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</si>
  <si>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</si>
  <si>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</si>
  <si>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</si>
  <si>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</si>
  <si>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</si>
  <si>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</si>
  <si>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</si>
  <si>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</si>
  <si>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</si>
  <si>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</si>
  <si>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</si>
  <si>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</si>
  <si>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</si>
  <si>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</si>
  <si>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</si>
  <si>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</si>
  <si>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</si>
  <si>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</si>
  <si>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</si>
  <si>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</si>
  <si>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</si>
  <si>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</si>
  <si>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</si>
  <si>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</si>
  <si>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</si>
  <si>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</si>
  <si>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</si>
  <si>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</si>
  <si>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</si>
  <si>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</si>
  <si>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</si>
  <si>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</si>
  <si>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</si>
  <si>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</si>
  <si>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</si>
  <si>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</si>
  <si>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</si>
  <si>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</si>
  <si>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</si>
  <si>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</si>
  <si>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</si>
  <si>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</si>
  <si>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</si>
  <si>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</si>
  <si>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</si>
  <si>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</si>
  <si>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</si>
  <si>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</si>
  <si>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</si>
  <si>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</si>
  <si>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</si>
  <si>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</si>
  <si>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</si>
  <si>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</si>
  <si>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</si>
  <si>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</si>
  <si>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</si>
  <si>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</si>
  <si>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</si>
  <si>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</si>
  <si>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</si>
  <si>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</si>
  <si>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</si>
  <si>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</si>
  <si>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</si>
  <si>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</si>
  <si>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</si>
  <si>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</si>
  <si>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</si>
  <si>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</si>
  <si>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</si>
  <si>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</si>
  <si>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</si>
  <si>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</si>
  <si>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</si>
  <si>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</si>
  <si>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</si>
  <si>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</si>
  <si>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</si>
  <si>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</si>
  <si>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</si>
  <si>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</si>
  <si>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</si>
  <si>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</si>
  <si>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</si>
  <si>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</si>
  <si>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</si>
  <si>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</si>
  <si>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</si>
  <si>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</si>
  <si>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</si>
  <si>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</si>
  <si>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</si>
  <si>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</si>
  <si>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</si>
  <si>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</si>
  <si>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</si>
  <si>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</si>
  <si>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</si>
  <si>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</si>
  <si>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</si>
  <si>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</si>
  <si>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</si>
  <si>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</si>
  <si>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</si>
  <si>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</si>
  <si>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</si>
  <si>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</si>
  <si>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</si>
  <si>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</si>
  <si>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</si>
  <si>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</si>
  <si>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</si>
  <si>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</si>
  <si>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</si>
  <si>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</si>
  <si>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</si>
  <si>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</si>
  <si>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</si>
  <si>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</si>
  <si>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</si>
  <si>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</si>
  <si>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</si>
  <si>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</si>
  <si>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</si>
  <si>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</si>
  <si>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</si>
  <si>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</si>
  <si>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</si>
  <si>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</si>
  <si>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</si>
  <si>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</si>
  <si>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</si>
  <si>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</si>
  <si>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</si>
  <si>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</si>
  <si>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</si>
  <si>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</si>
  <si>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</si>
  <si>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</si>
  <si>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</si>
  <si>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</si>
  <si>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</si>
  <si>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</si>
  <si>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</si>
  <si>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</si>
  <si>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</si>
  <si>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</si>
  <si>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</si>
  <si>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</si>
  <si>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</si>
  <si>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</si>
  <si>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</si>
  <si>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</si>
  <si>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</si>
  <si>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</si>
  <si>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</si>
  <si>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</si>
  <si>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</si>
  <si>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</si>
  <si>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</si>
  <si>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</si>
  <si>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</si>
  <si>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</si>
  <si>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</si>
  <si>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</si>
  <si>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</si>
  <si>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</si>
  <si>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</si>
  <si>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</si>
  <si>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</si>
  <si>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</si>
  <si>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</si>
  <si>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</si>
  <si>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</si>
  <si>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</si>
  <si>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</si>
  <si>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</si>
  <si>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</si>
  <si>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</si>
  <si>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</si>
  <si>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</si>
  <si>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</si>
  <si>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</si>
  <si>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</si>
  <si>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</si>
  <si>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</si>
  <si>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</si>
  <si>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</si>
  <si>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</si>
  <si>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</si>
  <si>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</si>
  <si>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</si>
  <si>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</si>
  <si>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</si>
  <si>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</si>
  <si>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</si>
  <si>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</si>
  <si>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</si>
  <si>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</si>
  <si>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</si>
  <si>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</si>
  <si>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</si>
  <si>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</si>
  <si>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</si>
  <si>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</si>
  <si>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</si>
  <si>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</si>
  <si>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</si>
  <si>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</si>
  <si>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</si>
  <si>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</si>
  <si>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</si>
  <si>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</si>
  <si>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</si>
  <si>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</si>
  <si>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</si>
  <si>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</si>
  <si>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</si>
  <si>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</si>
  <si>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</si>
  <si>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</si>
  <si>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</si>
  <si>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</si>
  <si>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</si>
  <si>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</si>
  <si>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</si>
  <si>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</si>
  <si>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</si>
  <si>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</si>
  <si>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</si>
  <si>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</si>
  <si>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</si>
  <si>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</si>
  <si>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</si>
  <si>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</si>
  <si>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</si>
  <si>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</si>
  <si>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</si>
  <si>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</si>
  <si>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</si>
  <si>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</si>
  <si>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</si>
  <si>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</si>
  <si>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</si>
  <si>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</si>
  <si>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</si>
  <si>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</si>
  <si>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</si>
  <si>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</si>
  <si>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</si>
  <si>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</si>
  <si>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</si>
  <si>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</si>
  <si>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</si>
  <si>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</si>
  <si>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</si>
  <si>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</si>
  <si>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</si>
  <si>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</si>
  <si>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</si>
  <si>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</si>
  <si>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</si>
  <si>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</si>
  <si>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</si>
  <si>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</si>
  <si>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</si>
  <si>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</si>
  <si>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</si>
  <si>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</si>
  <si>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</si>
  <si>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</si>
  <si>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</si>
  <si>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</si>
  <si>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</si>
  <si>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</si>
  <si>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</si>
  <si>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</si>
  <si>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</si>
  <si>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</si>
  <si>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</si>
  <si>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</si>
  <si>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</si>
  <si>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</si>
  <si>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</si>
  <si>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</si>
  <si>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</si>
  <si>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</si>
  <si>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</si>
  <si>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</si>
  <si>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</si>
  <si>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</si>
  <si>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</si>
  <si>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</si>
  <si>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</si>
  <si>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</si>
  <si>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</si>
  <si>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</si>
  <si>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</si>
  <si>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</si>
  <si>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</si>
  <si>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</si>
  <si>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</si>
  <si>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</si>
  <si>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</si>
  <si>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</si>
  <si>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</si>
  <si>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</si>
  <si>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</si>
  <si>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</si>
  <si>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</si>
  <si>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</si>
  <si>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</si>
  <si>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</si>
  <si>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</si>
  <si>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</si>
  <si>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</si>
  <si>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</si>
  <si>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</si>
  <si>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</si>
  <si>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</si>
  <si>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</si>
  <si>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</si>
  <si>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</si>
  <si>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</si>
  <si>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</si>
  <si>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</si>
  <si>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</si>
  <si>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</si>
  <si>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</si>
  <si>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</si>
  <si>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</si>
  <si>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</si>
  <si>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</si>
  <si>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</si>
  <si>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</si>
  <si>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</si>
  <si>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</si>
  <si>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</si>
  <si>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</si>
  <si>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</si>
  <si>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</si>
  <si>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</si>
  <si>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</si>
  <si>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</si>
  <si>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</si>
  <si>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</si>
  <si>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</si>
  <si>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</si>
  <si>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</si>
  <si>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</si>
  <si>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</si>
  <si>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</si>
  <si>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</si>
  <si>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</si>
  <si>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</si>
  <si>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</si>
  <si>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</si>
  <si>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</si>
  <si>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</si>
  <si>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</si>
  <si>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</si>
  <si>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</si>
  <si>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</si>
  <si>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</si>
  <si>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</si>
  <si>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</si>
  <si>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</si>
  <si>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</si>
  <si>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</si>
  <si>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</si>
  <si>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</si>
  <si>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</si>
  <si>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</si>
  <si>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</si>
  <si>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</si>
  <si>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</si>
  <si>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</si>
  <si>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</si>
  <si>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</si>
  <si>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</si>
  <si>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</si>
  <si>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</si>
  <si>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</si>
  <si>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</si>
  <si>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</si>
  <si>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</si>
  <si>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</si>
  <si>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</si>
  <si>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</si>
  <si>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</si>
  <si>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</si>
  <si>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</si>
  <si>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</si>
  <si>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</si>
  <si>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</si>
  <si>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</si>
  <si>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</si>
  <si>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</si>
  <si>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</si>
  <si>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</si>
  <si>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</si>
  <si>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</si>
  <si>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</si>
  <si>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</si>
  <si>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</si>
  <si>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</si>
  <si>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</si>
  <si>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</si>
  <si>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</si>
  <si>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</si>
  <si>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</si>
  <si>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</si>
  <si>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</si>
  <si>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</si>
  <si>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</si>
  <si>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</si>
  <si>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</si>
  <si>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</si>
  <si>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</si>
  <si>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</si>
  <si>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</si>
  <si>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</si>
  <si>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</si>
  <si>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</si>
  <si>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</si>
  <si>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</si>
  <si>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</si>
  <si>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</si>
  <si>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</si>
  <si>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</si>
  <si>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</si>
  <si>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</si>
  <si>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</si>
  <si>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</si>
  <si>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</si>
  <si>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</si>
  <si>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</si>
  <si>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</si>
  <si>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</si>
  <si>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</si>
  <si>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</si>
  <si>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</si>
  <si>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</si>
  <si>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</si>
  <si>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</si>
  <si>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</si>
  <si>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</si>
  <si>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</si>
  <si>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</si>
  <si>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</si>
  <si>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</si>
  <si>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</si>
  <si>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</si>
  <si>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</si>
  <si>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</si>
  <si>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</si>
  <si>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</si>
  <si>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</si>
  <si>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</si>
  <si>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</si>
  <si>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</si>
  <si>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</si>
  <si>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</si>
  <si>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</si>
  <si>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</si>
  <si>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</si>
  <si>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</si>
  <si>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</si>
  <si>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</si>
  <si>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</si>
  <si>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</si>
  <si>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</si>
  <si>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</si>
  <si>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</si>
  <si>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</si>
  <si>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</si>
  <si>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</si>
  <si>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</si>
  <si>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</si>
  <si>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</si>
  <si>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</si>
  <si>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</si>
  <si>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</si>
  <si>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</si>
  <si>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</si>
  <si>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</si>
  <si>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</si>
  <si>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</si>
  <si>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</si>
  <si>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</si>
  <si>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</si>
  <si>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</si>
  <si>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</si>
  <si>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</si>
  <si>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</si>
  <si>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</si>
  <si>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</si>
  <si>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</si>
  <si>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</si>
  <si>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</si>
  <si>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</si>
  <si>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</si>
  <si>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</si>
  <si>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</si>
  <si>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</si>
  <si>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</si>
  <si>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</si>
  <si>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</si>
  <si>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</si>
  <si>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</si>
  <si>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</si>
  <si>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</si>
  <si>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</si>
  <si>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</si>
  <si>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</si>
  <si>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</si>
  <si>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</si>
  <si>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</si>
  <si>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</si>
  <si>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</si>
  <si>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</si>
  <si>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</si>
  <si>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</si>
  <si>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</si>
  <si>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</si>
  <si>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</si>
  <si>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</si>
  <si>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</si>
  <si>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</si>
  <si>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</si>
  <si>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</si>
  <si>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</si>
  <si>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</si>
  <si>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</si>
  <si>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</si>
  <si>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</si>
  <si>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</si>
  <si>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</si>
  <si>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</si>
  <si>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</si>
  <si>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</si>
  <si>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</si>
  <si>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</si>
  <si>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</si>
  <si>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</si>
  <si>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</si>
  <si>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</si>
  <si>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</si>
  <si>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</si>
  <si>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</si>
  <si>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</si>
  <si>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</si>
  <si>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</si>
  <si>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</si>
  <si>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</si>
  <si>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</si>
  <si>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</si>
  <si>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</si>
  <si>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</si>
  <si>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</si>
  <si>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</si>
  <si>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</si>
  <si>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</si>
  <si>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</si>
  <si>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</si>
  <si>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</si>
  <si>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</si>
  <si>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</si>
  <si>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</si>
  <si>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</si>
  <si>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</si>
  <si>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</si>
  <si>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</si>
  <si>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</si>
  <si>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</si>
  <si>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</si>
  <si>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</si>
  <si>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</si>
  <si>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</si>
  <si>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</si>
  <si>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</si>
  <si>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</si>
  <si>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</si>
  <si>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</si>
  <si>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</si>
  <si>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</si>
  <si>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</si>
  <si>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</si>
  <si>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</si>
  <si>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</si>
  <si>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</si>
  <si>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</si>
  <si>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</si>
  <si>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</si>
  <si>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</si>
  <si>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</si>
  <si>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</si>
  <si>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</si>
  <si>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</si>
  <si>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</si>
  <si>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</si>
  <si>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</si>
  <si>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</si>
  <si>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</si>
  <si>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</si>
  <si>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</si>
  <si>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</si>
  <si>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</si>
  <si>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</si>
  <si>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</si>
  <si>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</si>
  <si>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</si>
  <si>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</si>
  <si>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</si>
  <si>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</si>
  <si>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</si>
  <si>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</si>
  <si>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</si>
  <si>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</si>
  <si>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</si>
  <si>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</si>
  <si>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</si>
  <si>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</si>
  <si>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</si>
  <si>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</si>
  <si>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</si>
  <si>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</si>
  <si>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</si>
  <si>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</si>
  <si>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</si>
  <si>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</si>
  <si>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</si>
  <si>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</si>
  <si>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</si>
  <si>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</si>
  <si>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</si>
  <si>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</si>
  <si>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</si>
  <si>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</si>
  <si>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</si>
  <si>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</si>
  <si>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</si>
  <si>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</si>
  <si>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</si>
  <si>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</si>
  <si>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</si>
  <si>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</si>
  <si>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</si>
  <si>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</si>
  <si>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</si>
  <si>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</si>
  <si>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</si>
  <si>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</si>
  <si>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</si>
  <si>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</si>
  <si>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</si>
  <si>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</si>
  <si>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</si>
  <si>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</si>
  <si>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</si>
  <si>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</si>
  <si>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</si>
  <si>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</si>
  <si>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</si>
  <si>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</si>
  <si>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</si>
  <si>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</si>
  <si>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</si>
  <si>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</si>
  <si>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</si>
  <si>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</si>
  <si>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</si>
  <si>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</si>
  <si>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</si>
  <si>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</si>
  <si>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</si>
  <si>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</si>
  <si>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</si>
  <si>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</si>
  <si>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</si>
  <si>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</si>
  <si>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</si>
  <si>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</si>
  <si>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</si>
  <si>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</si>
  <si>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</si>
  <si>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</si>
  <si>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</si>
  <si>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</si>
  <si>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</si>
  <si>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</si>
  <si>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</si>
  <si>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</si>
  <si>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</si>
  <si>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</si>
  <si>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</si>
  <si>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</si>
  <si>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</si>
  <si>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</si>
  <si>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</si>
  <si>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</si>
  <si>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</si>
  <si>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</si>
  <si>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</si>
  <si>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</si>
  <si>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</si>
  <si>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</si>
  <si>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</si>
  <si>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</si>
  <si>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</si>
  <si>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</si>
  <si>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</si>
  <si>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</si>
  <si>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</si>
  <si>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</si>
  <si>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</si>
  <si>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</si>
  <si>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</si>
  <si>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</si>
  <si>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</si>
  <si>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</si>
  <si>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</si>
  <si>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</si>
  <si>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</si>
  <si>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</si>
  <si>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</si>
  <si>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</si>
  <si>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</si>
  <si>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</si>
  <si>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</si>
  <si>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</si>
  <si>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</si>
  <si>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</si>
  <si>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</si>
  <si>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</si>
  <si>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</si>
  <si>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</si>
  <si>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</si>
  <si>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</si>
  <si>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</si>
  <si>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</si>
  <si>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</si>
  <si>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</si>
  <si>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</si>
  <si>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</si>
  <si>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</si>
  <si>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</si>
  <si>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</si>
  <si>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</si>
  <si>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</si>
  <si>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</si>
  <si>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</si>
  <si>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</si>
  <si>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</si>
  <si>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</si>
  <si>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</si>
  <si>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</si>
  <si>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</si>
  <si>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</si>
  <si>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</si>
  <si>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</si>
  <si>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</si>
  <si>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</si>
  <si>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</si>
  <si>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</si>
  <si>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</si>
  <si>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</si>
  <si>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</si>
  <si>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</si>
  <si>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</si>
  <si>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</si>
  <si>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</si>
  <si>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</si>
  <si>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</si>
  <si>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</si>
  <si>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</si>
  <si>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</si>
  <si>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</si>
  <si>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</si>
  <si>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</si>
  <si>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</si>
  <si>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</si>
  <si>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</si>
  <si>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</si>
  <si>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</si>
  <si>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</si>
  <si>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</si>
  <si>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</si>
  <si>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</si>
  <si>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</si>
  <si>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</si>
  <si>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</si>
  <si>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</si>
  <si>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</si>
  <si>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</si>
  <si>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</si>
  <si>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</si>
  <si>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</si>
  <si>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</si>
  <si>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</si>
  <si>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</si>
  <si>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</si>
  <si>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</si>
  <si>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</si>
  <si>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</si>
  <si>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</si>
  <si>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</si>
  <si>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</si>
  <si>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</si>
  <si>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</si>
  <si>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</si>
  <si>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</si>
  <si>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</si>
  <si>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</si>
  <si>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</si>
  <si>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</si>
  <si>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</si>
  <si>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</si>
  <si>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</si>
  <si>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</si>
  <si>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</si>
  <si>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</si>
  <si>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</si>
  <si>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</si>
  <si>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</si>
  <si>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</si>
  <si>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</si>
  <si>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</si>
  <si>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</si>
  <si>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</si>
  <si>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</si>
  <si>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</si>
  <si>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</si>
  <si>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</si>
  <si>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</si>
  <si>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</si>
  <si>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</si>
  <si>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</si>
  <si>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</si>
  <si>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</si>
  <si>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</si>
  <si>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</si>
  <si>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</si>
  <si>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</si>
  <si>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</si>
  <si>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</si>
  <si>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</si>
  <si>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</si>
  <si>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</si>
  <si>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</si>
  <si>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</si>
  <si>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</si>
  <si>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</si>
  <si>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</si>
  <si>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</si>
  <si>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</si>
  <si>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</si>
  <si>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</si>
  <si>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</si>
  <si>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</si>
  <si>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</si>
  <si>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</si>
  <si>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</si>
  <si>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</si>
  <si>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</si>
  <si>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</si>
  <si>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</si>
  <si>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</si>
  <si>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</si>
  <si>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</si>
  <si>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</si>
  <si>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</si>
  <si>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</si>
  <si>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</si>
  <si>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</si>
  <si>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</si>
  <si>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</si>
  <si>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</si>
  <si>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</si>
  <si>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</si>
  <si>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</si>
  <si>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</si>
  <si>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</si>
  <si>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</si>
  <si>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</si>
  <si>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</si>
  <si>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</si>
  <si>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</si>
  <si>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</si>
  <si>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</si>
  <si>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</si>
  <si>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</si>
  <si>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</si>
  <si>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</si>
  <si>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</si>
  <si>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</si>
  <si>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</si>
  <si>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</si>
  <si>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</si>
  <si>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</si>
  <si>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</si>
  <si>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</si>
  <si>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</si>
  <si>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</si>
  <si>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</si>
  <si>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</si>
  <si>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</si>
  <si>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</si>
  <si>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</si>
  <si>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</si>
  <si>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</si>
  <si>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</si>
  <si>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</si>
  <si>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</si>
  <si>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</si>
  <si>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</si>
  <si>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</si>
  <si>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</si>
  <si>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</si>
  <si>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</si>
  <si>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</si>
  <si>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</si>
  <si>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</si>
  <si>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</si>
  <si>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</si>
  <si>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</si>
  <si>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</si>
  <si>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</si>
  <si>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</si>
  <si>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</si>
  <si>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</si>
  <si>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</si>
  <si>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</si>
  <si>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</si>
  <si>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</si>
  <si>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</si>
  <si>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</si>
  <si>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</si>
  <si>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</si>
  <si>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</si>
  <si>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</si>
  <si>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</si>
  <si>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</si>
  <si>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</si>
  <si>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</si>
  <si>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</si>
  <si>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</si>
  <si>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</si>
  <si>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</si>
  <si>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</si>
  <si>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</si>
  <si>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</si>
  <si>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</si>
  <si>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</si>
  <si>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</si>
  <si>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</si>
  <si>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</si>
  <si>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</si>
  <si>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</si>
  <si>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</si>
  <si>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</si>
  <si>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</si>
  <si>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</si>
  <si>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</si>
  <si>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</si>
  <si>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</si>
  <si>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</si>
  <si>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</si>
  <si>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</si>
  <si>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</si>
  <si>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</si>
  <si>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</si>
  <si>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</si>
  <si>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</si>
  <si>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</si>
  <si>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</si>
  <si>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</si>
  <si>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</si>
  <si>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</si>
  <si>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</si>
  <si>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</si>
  <si>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</si>
  <si>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</si>
  <si>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</si>
  <si>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</si>
  <si>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</si>
  <si>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</si>
  <si>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</si>
  <si>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</si>
  <si>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</si>
  <si>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</si>
  <si>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</si>
  <si>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</si>
  <si>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</si>
  <si>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</si>
  <si>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</si>
  <si>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</si>
  <si>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</si>
  <si>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</si>
  <si>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</si>
  <si>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</si>
  <si>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</si>
  <si>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</si>
  <si>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</si>
  <si>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</si>
  <si>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</si>
  <si>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</si>
  <si>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</si>
  <si>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</si>
  <si>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</si>
  <si>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</si>
  <si>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</si>
  <si>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</si>
  <si>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</si>
  <si>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</si>
  <si>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</si>
  <si>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</si>
  <si>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</si>
  <si>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</si>
  <si>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</si>
  <si>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</si>
  <si>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</si>
  <si>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</si>
  <si>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</si>
  <si>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</si>
  <si>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</si>
  <si>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</si>
  <si>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</si>
  <si>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</si>
  <si>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</si>
  <si>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</si>
  <si>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</si>
  <si>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</si>
  <si>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</si>
  <si>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</si>
  <si>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</si>
  <si>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</si>
  <si>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</si>
  <si>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</si>
  <si>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</si>
  <si>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</si>
  <si>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</si>
  <si>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</si>
  <si>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</si>
  <si>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</si>
  <si>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</si>
  <si>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</si>
  <si>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</si>
  <si>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</si>
  <si>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</si>
  <si>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</si>
  <si>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</si>
  <si>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</si>
  <si>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</si>
  <si>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</si>
  <si>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</si>
  <si>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</si>
  <si>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</si>
  <si>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</si>
  <si>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</si>
  <si>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</si>
  <si>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</si>
  <si>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</si>
  <si>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</si>
  <si>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</si>
  <si>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</si>
  <si>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</si>
  <si>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</si>
  <si>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</si>
  <si>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</si>
  <si>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</si>
  <si>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</si>
  <si>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</si>
  <si>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</si>
  <si>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</si>
  <si>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</si>
  <si>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</si>
  <si>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</si>
  <si>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</si>
  <si>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</si>
  <si>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</si>
  <si>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</si>
  <si>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</si>
  <si>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</si>
  <si>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</si>
  <si>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</si>
  <si>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</si>
  <si>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</si>
  <si>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</si>
  <si>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</si>
  <si>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</si>
  <si>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</si>
  <si>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</si>
  <si>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</si>
  <si>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</si>
  <si>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</si>
  <si>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</si>
  <si>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</si>
  <si>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</si>
  <si>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</si>
  <si>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</si>
  <si>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</si>
  <si>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</si>
  <si>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</si>
  <si>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</si>
  <si>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</si>
  <si>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</si>
  <si>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</si>
  <si>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</si>
  <si>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</si>
  <si>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</si>
  <si>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</si>
  <si>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</si>
  <si>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</si>
  <si>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</si>
  <si>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</si>
  <si>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</si>
  <si>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</si>
  <si>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</si>
  <si>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</si>
  <si>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</si>
  <si>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</si>
  <si>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</si>
  <si>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</si>
  <si>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</si>
  <si>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</si>
  <si>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</si>
  <si>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</si>
  <si>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</si>
  <si>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</si>
  <si>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</si>
  <si>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</si>
  <si>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</si>
  <si>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</si>
  <si>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</si>
  <si>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</si>
  <si>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</si>
  <si>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</si>
  <si>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</si>
  <si>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</si>
  <si>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</si>
  <si>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</si>
  <si>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</si>
  <si>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</si>
  <si>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</si>
  <si>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</si>
  <si>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</si>
  <si>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</si>
  <si>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</si>
  <si>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</si>
  <si>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</si>
  <si>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</si>
  <si>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</si>
  <si>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</si>
  <si>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</si>
  <si>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</si>
  <si>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</si>
  <si>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</si>
  <si>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</si>
  <si>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</si>
  <si>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</si>
  <si>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</si>
  <si>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</si>
  <si>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</si>
  <si>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</si>
  <si>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</si>
  <si>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</si>
  <si>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</si>
  <si>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</si>
  <si>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</si>
  <si>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</si>
  <si>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</si>
  <si>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</si>
  <si>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</si>
  <si>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</si>
  <si>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</si>
  <si>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</si>
  <si>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</si>
  <si>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</si>
  <si>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</si>
  <si>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</si>
  <si>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</si>
  <si>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</si>
  <si>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</si>
  <si>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</si>
  <si>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</si>
  <si>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</si>
  <si>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</si>
  <si>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</si>
  <si>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</si>
  <si>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</si>
  <si>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</si>
  <si>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</si>
  <si>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</si>
  <si>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</si>
  <si>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</si>
  <si>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</si>
  <si>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</si>
  <si>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</si>
  <si>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</si>
  <si>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</si>
  <si>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</si>
  <si>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</si>
  <si>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</si>
  <si>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</si>
  <si>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</si>
  <si>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</si>
  <si>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</si>
  <si>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</si>
  <si>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</si>
  <si>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</si>
  <si>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</si>
  <si>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</si>
  <si>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</si>
  <si>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</si>
  <si>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</si>
  <si>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</si>
  <si>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</si>
  <si>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</si>
  <si>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</si>
  <si>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</si>
  <si>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</si>
  <si>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</si>
  <si>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</si>
  <si>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</si>
  <si>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</si>
  <si>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</si>
  <si>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</si>
  <si>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</si>
  <si>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</si>
  <si>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</si>
  <si>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</si>
  <si>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</si>
  <si>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</si>
  <si>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</si>
  <si>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</si>
  <si>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</si>
  <si>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</si>
  <si>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</si>
  <si>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</si>
  <si>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</si>
  <si>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</si>
  <si>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</si>
  <si>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</si>
  <si>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</si>
  <si>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</si>
  <si>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</si>
  <si>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</si>
  <si>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</si>
  <si>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</si>
  <si>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</si>
  <si>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</si>
  <si>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</si>
  <si>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</si>
  <si>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</si>
  <si>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</si>
  <si>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</si>
  <si>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</si>
  <si>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</si>
  <si>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</si>
  <si>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</si>
  <si>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</si>
  <si>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</si>
  <si>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</si>
  <si>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</si>
  <si>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</si>
  <si>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</si>
  <si>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</si>
  <si>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</si>
  <si>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</si>
  <si>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</si>
  <si>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</si>
  <si>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</si>
  <si>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</si>
  <si>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</si>
  <si>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</si>
  <si>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</si>
  <si>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</si>
  <si>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</si>
  <si>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</si>
  <si>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</si>
  <si>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</si>
  <si>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</si>
  <si>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</si>
  <si>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</si>
  <si>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</si>
  <si>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</si>
  <si>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</si>
  <si>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</si>
  <si>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</si>
  <si>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</si>
  <si>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</si>
  <si>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</si>
  <si>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</si>
  <si>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</si>
  <si>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</si>
  <si>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</si>
  <si>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</si>
  <si>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</si>
  <si>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</si>
  <si>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</si>
  <si>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</si>
  <si>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</si>
  <si>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</si>
  <si>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</si>
  <si>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</si>
  <si>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</si>
  <si>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</si>
  <si>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</si>
  <si>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</si>
  <si>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</si>
  <si>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</si>
  <si>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</si>
  <si>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</si>
  <si>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</si>
  <si>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</si>
  <si>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</si>
  <si>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</si>
  <si>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</si>
  <si>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</si>
  <si>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</si>
  <si>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</si>
  <si>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</si>
  <si>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</si>
  <si>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</si>
  <si>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</si>
  <si>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</si>
  <si>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</si>
  <si>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</si>
  <si>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</si>
  <si>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</si>
  <si>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</si>
  <si>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</si>
  <si>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</si>
  <si>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</si>
  <si>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</si>
  <si>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</si>
  <si>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</si>
  <si>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</si>
  <si>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</si>
  <si>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</si>
  <si>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</si>
  <si>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</si>
  <si>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</si>
  <si>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</si>
  <si>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</si>
  <si>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</si>
  <si>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</si>
  <si>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</si>
  <si>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</si>
  <si>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</si>
  <si>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</si>
  <si>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</si>
  <si>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</si>
  <si>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</si>
  <si>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</si>
  <si>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</si>
  <si>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</si>
  <si>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</si>
  <si>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</si>
  <si>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</si>
  <si>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</si>
  <si>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</si>
  <si>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</si>
  <si>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</si>
  <si>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</si>
  <si>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</si>
  <si>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</si>
  <si>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</si>
  <si>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</si>
  <si>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</si>
  <si>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</si>
  <si>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</si>
  <si>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</si>
  <si>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</si>
  <si>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</si>
  <si>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</si>
  <si>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</si>
  <si>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</si>
  <si>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</si>
  <si>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</si>
  <si>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</si>
  <si>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</si>
  <si>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</si>
  <si>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</si>
  <si>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</si>
  <si>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</si>
  <si>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</si>
  <si>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</si>
  <si>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</si>
  <si>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</si>
  <si>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</si>
  <si>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</si>
  <si>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</si>
  <si>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</si>
  <si>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</si>
  <si>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</si>
  <si>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</si>
  <si>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</si>
  <si>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</si>
  <si>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</si>
  <si>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</si>
  <si>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</si>
  <si>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</si>
  <si>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</si>
  <si>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</si>
  <si>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</si>
  <si>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</si>
  <si>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</si>
  <si>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</si>
  <si>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</si>
  <si>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</si>
  <si>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</si>
  <si>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</si>
  <si>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</si>
  <si>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</si>
  <si>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</si>
  <si>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</si>
  <si>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</si>
  <si>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</si>
  <si>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</si>
  <si>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</si>
  <si>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</si>
  <si>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</si>
  <si>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</si>
  <si>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</si>
  <si>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</si>
  <si>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</si>
  <si>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</si>
  <si>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</si>
  <si>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</si>
  <si>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</si>
  <si>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</si>
  <si>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</si>
  <si>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</si>
  <si>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</si>
  <si>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</si>
  <si>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</si>
  <si>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</si>
  <si>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</si>
  <si>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</si>
  <si>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</si>
  <si>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</si>
  <si>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</si>
  <si>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</si>
  <si>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</si>
  <si>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</si>
  <si>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</si>
  <si>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</si>
  <si>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</si>
  <si>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</si>
  <si>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</si>
  <si>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</si>
  <si>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</si>
  <si>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</si>
  <si>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</si>
  <si>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</si>
  <si>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</si>
  <si>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</si>
  <si>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</si>
  <si>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</si>
  <si>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</si>
  <si>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</si>
  <si>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</si>
  <si>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</si>
  <si>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</si>
  <si>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</si>
  <si>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</si>
  <si>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</si>
  <si>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</si>
  <si>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</si>
  <si>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</si>
  <si>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</si>
  <si>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</si>
  <si>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</si>
  <si>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</si>
  <si>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</si>
  <si>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</si>
  <si>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</si>
  <si>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</si>
  <si>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</si>
  <si>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</si>
  <si>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</si>
  <si>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</si>
  <si>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</si>
  <si>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</si>
  <si>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</si>
  <si>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</si>
  <si>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</si>
  <si>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</si>
  <si>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</si>
  <si>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</si>
  <si>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</si>
  <si>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</si>
  <si>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</si>
  <si>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</si>
  <si>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</si>
  <si>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</si>
  <si>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</si>
  <si>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</si>
  <si>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</si>
  <si>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</si>
  <si>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</si>
  <si>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</si>
  <si>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</si>
  <si>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</si>
  <si>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</si>
  <si>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</si>
  <si>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</si>
  <si>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</si>
  <si>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</si>
  <si>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</si>
  <si>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</si>
  <si>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</si>
  <si>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</si>
  <si>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</si>
  <si>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</si>
  <si>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</si>
  <si>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</si>
  <si>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</si>
  <si>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</si>
  <si>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</si>
  <si>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</si>
  <si>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</si>
  <si>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</si>
  <si>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</si>
  <si>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</si>
  <si>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</si>
  <si>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</si>
  <si>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Kankakee</t>
  </si>
  <si>
    <t>4083 N 1000W Rd</t>
  </si>
  <si>
    <t>Bourbonnais</t>
  </si>
  <si>
    <t>Russell Leigh &amp; Associates</t>
  </si>
  <si>
    <t>228 East Main</t>
  </si>
  <si>
    <t>Hoopeston</t>
  </si>
  <si>
    <t>IL</t>
  </si>
  <si>
    <t>217-283-9336</t>
  </si>
  <si>
    <t>217-283-9736</t>
  </si>
  <si>
    <t>065-18319</t>
  </si>
  <si>
    <t>addredmin@russleigh.comss:</t>
  </si>
  <si>
    <t>Matthew Kelley</t>
  </si>
  <si>
    <t>815-939-4971</t>
  </si>
  <si>
    <t>815-939-7598</t>
  </si>
  <si>
    <t>Kankakee Area Career Center</t>
  </si>
  <si>
    <t>Russ Leigh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</si>
</sst>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c r="C5" s="26" t="s">
        <v>966</v>
      </c>
      <c r="D5" s="84"/>
      <c r="E5" s="84"/>
      <c r="H5" s="38"/>
      <c r="I5" s="2041" t="s">
        <v>701</v>
      </c>
      <c r="J5" s="1986"/>
      <c r="K5" s="1986"/>
      <c r="L5" s="1986"/>
      <c r="M5" s="1986"/>
      <c r="N5" s="1986"/>
      <c r="O5" s="1986"/>
      <c r="P5" s="1986"/>
      <c r="Q5" s="1986"/>
      <c r="R5" s="1986"/>
      <c r="S5" s="1986"/>
    </row>
    <row r="6" spans="1:28" ht="14.1" customHeight="1" x14ac:dyDescent="0.2">
      <c r="B6" s="104" t="s">
        <v>2077</v>
      </c>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32000000040</v>
      </c>
      <c r="B13" s="2003"/>
      <c r="C13" s="2003"/>
      <c r="D13" s="2003"/>
      <c r="E13" s="2003"/>
      <c r="F13" s="2003"/>
      <c r="G13" s="2003"/>
      <c r="H13" s="2004"/>
      <c r="I13" s="31"/>
      <c r="J13" s="30"/>
      <c r="K13" s="28"/>
      <c r="L13" s="30"/>
      <c r="M13" s="30"/>
      <c r="N13" s="30"/>
      <c r="O13" s="30"/>
      <c r="P13" s="30"/>
      <c r="Q13" s="30"/>
      <c r="R13" s="30"/>
      <c r="S13" s="30"/>
      <c r="T13" s="2007" t="s">
        <v>2081</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2093</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2092</v>
      </c>
      <c r="B17" s="2030"/>
      <c r="C17" s="2030"/>
      <c r="D17" s="2030"/>
      <c r="E17" s="2030"/>
      <c r="F17" s="2030"/>
      <c r="G17" s="2030"/>
      <c r="H17" s="2031"/>
      <c r="T17" s="2017" t="s">
        <v>2082</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2083</v>
      </c>
      <c r="U19" s="1998"/>
      <c r="V19" s="1998"/>
      <c r="W19" s="1999"/>
      <c r="X19" s="2015" t="s">
        <v>2084</v>
      </c>
      <c r="Y19" s="2016"/>
      <c r="Z19" s="2013">
        <v>60942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2085</v>
      </c>
      <c r="U21" s="1966"/>
      <c r="V21" s="1966"/>
      <c r="W21" s="1966"/>
      <c r="X21" s="1979" t="s">
        <v>2086</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2087</v>
      </c>
      <c r="U23" s="1961"/>
      <c r="V23" s="1961"/>
      <c r="W23" s="1961"/>
      <c r="X23" s="1976">
        <v>44469</v>
      </c>
      <c r="Y23" s="1977"/>
      <c r="Z23" s="1977"/>
      <c r="AA23" s="1978"/>
    </row>
    <row r="24" spans="1:27" ht="14.1" customHeight="1" x14ac:dyDescent="0.2">
      <c r="A24" s="88" t="s">
        <v>698</v>
      </c>
      <c r="B24" s="49"/>
      <c r="C24" s="49"/>
      <c r="D24" s="49"/>
      <c r="E24" s="49"/>
      <c r="F24" s="49"/>
      <c r="G24" s="49"/>
      <c r="H24" s="61"/>
      <c r="J24" s="2062" t="str">
        <f>IF(B5="x",IF(AUDITCHECK!D29="AFR form Incomplete.","",IF(AUDITCHECK!D29="Deficit reduction plan is required.","School District must complete a deficit reduction plan in the 2018-2019 Budget",)),"")</f>
        <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60914</v>
      </c>
      <c r="B25" s="1998"/>
      <c r="C25" s="1998"/>
      <c r="D25" s="1998"/>
      <c r="E25" s="1998"/>
      <c r="F25" s="1998"/>
      <c r="G25" s="1998"/>
      <c r="H25" s="1999"/>
      <c r="I25" s="113"/>
      <c r="J25" s="2064"/>
      <c r="K25" s="2064"/>
      <c r="L25" s="2064"/>
      <c r="M25" s="2064"/>
      <c r="N25" s="2064"/>
      <c r="O25" s="2064"/>
      <c r="P25" s="2064"/>
      <c r="Q25" s="2064"/>
      <c r="R25" s="2064"/>
      <c r="S25" s="2065"/>
      <c r="T25" s="1957" t="s">
        <v>2088</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2089</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2090</v>
      </c>
      <c r="B42" s="2047"/>
      <c r="C42" s="2048"/>
      <c r="D42" s="2061" t="s">
        <v>2091</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2081</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2081</v>
      </c>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2730051</v>
      </c>
      <c r="E16" s="356"/>
      <c r="F16" s="1755">
        <f>SUM('Acct Summary 7-8'!C17,'Acct Summary 7-8'!D17,'Acct Summary 7-8'!F17)</f>
        <v>2255807</v>
      </c>
      <c r="G16" s="356"/>
      <c r="H16" s="1755">
        <f>SUM(D16-F16)</f>
        <v>474244</v>
      </c>
      <c r="I16" s="222"/>
      <c r="J16" s="1755">
        <f>SUM('Acct Summary 7-8'!C81,'Acct Summary 7-8'!D81,'Acct Summary 7-8'!F81,'Acct Summary 7-8'!I81)</f>
        <v>1435115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Kankakee Area Career Center</v>
      </c>
      <c r="E7" s="391"/>
      <c r="G7" s="252"/>
      <c r="H7" s="387"/>
      <c r="I7" s="387"/>
      <c r="J7" s="387"/>
      <c r="K7" s="387"/>
      <c r="L7" s="329"/>
      <c r="M7" s="329"/>
      <c r="N7" s="329"/>
      <c r="O7" s="329"/>
      <c r="P7" s="329"/>
    </row>
    <row r="8" spans="1:18" ht="12.75" x14ac:dyDescent="0.2">
      <c r="A8" s="329"/>
      <c r="B8" s="329"/>
      <c r="C8" s="389" t="s">
        <v>1187</v>
      </c>
      <c r="D8" s="392">
        <f>COVER!A13</f>
        <v>32000000040</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1435115</v>
      </c>
      <c r="I12" s="404"/>
      <c r="J12" s="404"/>
      <c r="K12" s="405">
        <f>TRUNC((H12/H13*100000),5)/100000</f>
        <v>0.52567332990000004</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2730051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2255807</v>
      </c>
      <c r="I17" s="404"/>
      <c r="J17" s="416"/>
      <c r="K17" s="405">
        <f>TRUNC((H17/H18*100000),5)/100000</f>
        <v>0.82628749419999992</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2730051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1435115</v>
      </c>
      <c r="I24" s="422"/>
      <c r="J24" s="422"/>
      <c r="K24" s="423">
        <f>TRUNC(((H24/H25*100000)/100000),2)</f>
        <v>229.02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6266.1305599999996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0" activePane="bottomLeft" state="frozen"/>
      <selection activeCell="A47" sqref="A47"/>
      <selection pane="bottomLeft" activeCell="C38" sqref="C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1314685</v>
      </c>
      <c r="D4" s="466">
        <v>55997</v>
      </c>
      <c r="E4" s="466"/>
      <c r="F4" s="466">
        <v>64433</v>
      </c>
      <c r="G4" s="466"/>
      <c r="H4" s="466"/>
      <c r="I4" s="466"/>
      <c r="J4" s="467"/>
      <c r="K4" s="466"/>
      <c r="L4" s="466">
        <v>44021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1314685</v>
      </c>
      <c r="D13" s="1759">
        <f t="shared" ref="D13:L13" si="0">SUM(D4:D12)</f>
        <v>55997</v>
      </c>
      <c r="E13" s="1759">
        <f t="shared" si="0"/>
        <v>0</v>
      </c>
      <c r="F13" s="1759">
        <f t="shared" si="0"/>
        <v>64433</v>
      </c>
      <c r="G13" s="1759">
        <f t="shared" si="0"/>
        <v>0</v>
      </c>
      <c r="H13" s="1759">
        <f t="shared" si="0"/>
        <v>0</v>
      </c>
      <c r="I13" s="1759">
        <f t="shared" si="0"/>
        <v>0</v>
      </c>
      <c r="J13" s="1759">
        <f t="shared" si="0"/>
        <v>0</v>
      </c>
      <c r="K13" s="1759">
        <f t="shared" si="0"/>
        <v>0</v>
      </c>
      <c r="L13" s="1759">
        <f t="shared" si="0"/>
        <v>44021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284504</v>
      </c>
      <c r="N16" s="484"/>
    </row>
    <row r="17" spans="1:14" s="485" customFormat="1" ht="12.75" customHeight="1" x14ac:dyDescent="0.2">
      <c r="A17" s="482" t="s">
        <v>1470</v>
      </c>
      <c r="B17" s="483">
        <v>230</v>
      </c>
      <c r="C17" s="477"/>
      <c r="D17" s="477"/>
      <c r="E17" s="477"/>
      <c r="F17" s="477"/>
      <c r="G17" s="477"/>
      <c r="H17" s="477"/>
      <c r="I17" s="477"/>
      <c r="J17" s="477"/>
      <c r="K17" s="477"/>
      <c r="L17" s="477"/>
      <c r="M17" s="467">
        <v>3185804</v>
      </c>
      <c r="N17" s="484"/>
    </row>
    <row r="18" spans="1:14" s="485" customFormat="1" ht="12.75" customHeight="1" x14ac:dyDescent="0.2">
      <c r="A18" s="482" t="s">
        <v>1471</v>
      </c>
      <c r="B18" s="483">
        <v>240</v>
      </c>
      <c r="C18" s="477"/>
      <c r="D18" s="477"/>
      <c r="E18" s="477"/>
      <c r="F18" s="477"/>
      <c r="G18" s="477"/>
      <c r="H18" s="477"/>
      <c r="I18" s="477"/>
      <c r="J18" s="477"/>
      <c r="K18" s="477"/>
      <c r="L18" s="477"/>
      <c r="M18" s="467">
        <v>465792</v>
      </c>
      <c r="N18" s="484"/>
    </row>
    <row r="19" spans="1:14" s="485" customFormat="1" ht="12.75" customHeight="1" x14ac:dyDescent="0.2">
      <c r="A19" s="482" t="s">
        <v>1472</v>
      </c>
      <c r="B19" s="483">
        <v>250</v>
      </c>
      <c r="C19" s="477"/>
      <c r="D19" s="477"/>
      <c r="E19" s="477"/>
      <c r="F19" s="477"/>
      <c r="G19" s="477"/>
      <c r="H19" s="477"/>
      <c r="I19" s="477"/>
      <c r="J19" s="477"/>
      <c r="K19" s="477"/>
      <c r="L19" s="477"/>
      <c r="M19" s="467">
        <v>1873387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5809487</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44021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44021</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t="s">
        <v>1231</v>
      </c>
      <c r="D38" s="466"/>
      <c r="E38" s="466"/>
      <c r="F38" s="466"/>
      <c r="G38" s="466"/>
      <c r="H38" s="466"/>
      <c r="I38" s="466"/>
      <c r="J38" s="467"/>
      <c r="K38" s="466"/>
      <c r="L38" s="481"/>
      <c r="M38" s="497"/>
      <c r="N38" s="497"/>
    </row>
    <row r="39" spans="1:14" s="329" customFormat="1" ht="13.5" customHeight="1" x14ac:dyDescent="0.2">
      <c r="A39" s="496" t="s">
        <v>360</v>
      </c>
      <c r="B39" s="483">
        <v>730</v>
      </c>
      <c r="C39" s="466">
        <v>1314685</v>
      </c>
      <c r="D39" s="466">
        <v>55997</v>
      </c>
      <c r="E39" s="466"/>
      <c r="F39" s="466">
        <v>64433</v>
      </c>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5809487</v>
      </c>
      <c r="N40" s="497"/>
    </row>
    <row r="41" spans="1:14" ht="13.5" customHeight="1" thickBot="1" x14ac:dyDescent="0.25">
      <c r="A41" s="1758" t="s">
        <v>676</v>
      </c>
      <c r="B41" s="1728"/>
      <c r="C41" s="1710">
        <f>(SUM(C34,C37,C38,C39))</f>
        <v>1314685</v>
      </c>
      <c r="D41" s="1710">
        <f t="shared" ref="D41:L41" si="2">SUM(D34,D37,D38:D39)</f>
        <v>55997</v>
      </c>
      <c r="E41" s="1710">
        <f t="shared" si="2"/>
        <v>0</v>
      </c>
      <c r="F41" s="1710">
        <f t="shared" si="2"/>
        <v>64433</v>
      </c>
      <c r="G41" s="1710">
        <f t="shared" si="2"/>
        <v>0</v>
      </c>
      <c r="H41" s="1710">
        <f t="shared" si="2"/>
        <v>0</v>
      </c>
      <c r="I41" s="1710">
        <f t="shared" si="2"/>
        <v>0</v>
      </c>
      <c r="J41" s="1710">
        <f t="shared" si="2"/>
        <v>0</v>
      </c>
      <c r="K41" s="1710">
        <f t="shared" si="2"/>
        <v>0</v>
      </c>
      <c r="L41" s="1710">
        <f t="shared" si="2"/>
        <v>44021</v>
      </c>
      <c r="M41" s="1710">
        <f>SUM(M40)</f>
        <v>5809487</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1302310</v>
      </c>
      <c r="D4" s="1764">
        <f>'Revenues 9-14'!D109</f>
        <v>210000</v>
      </c>
      <c r="E4" s="1764">
        <f>'Revenues 9-14'!E109</f>
        <v>0</v>
      </c>
      <c r="F4" s="1764">
        <f>'Revenues 9-14'!F109</f>
        <v>30000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1158649</v>
      </c>
      <c r="D6" s="1765">
        <f>'Revenues 9-14'!D173</f>
        <v>0</v>
      </c>
      <c r="E6" s="1765">
        <f>'Revenues 9-14'!E173</f>
        <v>0</v>
      </c>
      <c r="F6" s="1765">
        <f>'Revenues 9-14'!F173</f>
        <v>29092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2460959</v>
      </c>
      <c r="D8" s="1710">
        <f t="shared" ref="D8:K8" si="0">SUM(D4:D7)</f>
        <v>210000</v>
      </c>
      <c r="E8" s="1710">
        <f t="shared" si="0"/>
        <v>0</v>
      </c>
      <c r="F8" s="1710">
        <f t="shared" si="0"/>
        <v>59092</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934481</v>
      </c>
      <c r="D9" s="516"/>
      <c r="E9" s="481"/>
      <c r="F9" s="481"/>
      <c r="G9" s="517"/>
      <c r="H9" s="481"/>
      <c r="I9" s="509" t="s">
        <v>1231</v>
      </c>
      <c r="J9" s="478"/>
      <c r="K9" s="481"/>
      <c r="L9" s="347"/>
    </row>
    <row r="10" spans="1:13" s="519" customFormat="1" ht="13.5" thickBot="1" x14ac:dyDescent="0.25">
      <c r="A10" s="1758" t="s">
        <v>1235</v>
      </c>
      <c r="B10" s="1731"/>
      <c r="C10" s="1710">
        <f>SUM(C8:C9)</f>
        <v>3395440</v>
      </c>
      <c r="D10" s="1710">
        <f t="shared" ref="D10:K10" si="1">SUM(D8:D9)</f>
        <v>210000</v>
      </c>
      <c r="E10" s="1710">
        <f t="shared" si="1"/>
        <v>0</v>
      </c>
      <c r="F10" s="1710">
        <f t="shared" si="1"/>
        <v>59092</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1378389</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509440</v>
      </c>
      <c r="D13" s="1765">
        <f>'Expenditures 15-22'!K129</f>
        <v>327806</v>
      </c>
      <c r="E13" s="469" t="s">
        <v>1231</v>
      </c>
      <c r="F13" s="1765">
        <f>'Expenditures 15-22'!K184</f>
        <v>40172</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1887829</v>
      </c>
      <c r="D17" s="1710">
        <f t="shared" si="2"/>
        <v>327806</v>
      </c>
      <c r="E17" s="1710">
        <f t="shared" si="2"/>
        <v>0</v>
      </c>
      <c r="F17" s="1710">
        <f t="shared" si="2"/>
        <v>40172</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934481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2822310</v>
      </c>
      <c r="D19" s="1710">
        <f t="shared" si="4"/>
        <v>327806</v>
      </c>
      <c r="E19" s="1710">
        <f t="shared" si="4"/>
        <v>0</v>
      </c>
      <c r="F19" s="1710">
        <f t="shared" si="4"/>
        <v>40172</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573130</v>
      </c>
      <c r="D20" s="1768">
        <f t="shared" ref="D20:K20" si="5">D8-D17</f>
        <v>-117806</v>
      </c>
      <c r="E20" s="1768">
        <f t="shared" si="5"/>
        <v>0</v>
      </c>
      <c r="F20" s="1768">
        <f t="shared" si="5"/>
        <v>18920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573130</v>
      </c>
      <c r="D78" s="1724">
        <f t="shared" si="9"/>
        <v>-117806</v>
      </c>
      <c r="E78" s="1724">
        <f t="shared" si="9"/>
        <v>0</v>
      </c>
      <c r="F78" s="1724">
        <f t="shared" si="9"/>
        <v>18920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741555</v>
      </c>
      <c r="D79" s="535">
        <v>173803</v>
      </c>
      <c r="E79" s="535"/>
      <c r="F79" s="535">
        <v>45513</v>
      </c>
      <c r="G79" s="535"/>
      <c r="H79" s="535"/>
      <c r="I79" s="535"/>
      <c r="J79" s="535"/>
      <c r="K79" s="535"/>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1314685</v>
      </c>
      <c r="D81" s="1710">
        <f>SUM(D78:D80)</f>
        <v>55997</v>
      </c>
      <c r="E81" s="1710">
        <f t="shared" ref="E81:K81" si="10">SUM(E78:E80)</f>
        <v>0</v>
      </c>
      <c r="F81" s="1710">
        <f t="shared" si="10"/>
        <v>64433</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573130</v>
      </c>
      <c r="D82" s="538">
        <f t="shared" ref="D82:K82" si="11">(D81-D79)</f>
        <v>-117806</v>
      </c>
      <c r="E82" s="538">
        <f t="shared" si="11"/>
        <v>0</v>
      </c>
      <c r="F82" s="538">
        <f t="shared" si="11"/>
        <v>18920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0.43594473200804756</v>
      </c>
      <c r="D83" s="540">
        <f t="shared" ref="D83:K83" si="12">D82/D81</f>
        <v>-2.1037912745325644</v>
      </c>
      <c r="E83" s="540" t="e">
        <f t="shared" si="12"/>
        <v>#DIV/0!</v>
      </c>
      <c r="F83" s="540">
        <f t="shared" si="12"/>
        <v>0.29363835301786351</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74" activePane="bottomLeft" state="frozen"/>
      <selection activeCell="A47" sqref="A47"/>
      <selection pane="bottomLeft" activeCell="A137" sqref="A13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t="s">
        <v>1231</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29866</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932347</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v>65424</v>
      </c>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1027637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2077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2077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76288</v>
      </c>
      <c r="D81" s="466"/>
      <c r="E81" s="468"/>
      <c r="F81" s="468"/>
      <c r="G81" s="468"/>
      <c r="H81" s="468"/>
      <c r="I81" s="468"/>
      <c r="J81" s="468"/>
      <c r="K81" s="468"/>
    </row>
    <row r="82" spans="1:11" ht="12.75" customHeight="1" thickBot="1" x14ac:dyDescent="0.25">
      <c r="A82" s="1730" t="s">
        <v>259</v>
      </c>
      <c r="B82" s="1731"/>
      <c r="C82" s="1729">
        <f>SUM(C77:C81)</f>
        <v>76288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1923</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1923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180552</v>
      </c>
      <c r="D104" s="466">
        <v>210000</v>
      </c>
      <c r="E104" s="481"/>
      <c r="F104" s="467">
        <v>30000</v>
      </c>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13833</v>
      </c>
      <c r="D107" s="466"/>
      <c r="E107" s="466"/>
      <c r="F107" s="466"/>
      <c r="G107" s="466"/>
      <c r="H107" s="466"/>
      <c r="I107" s="466"/>
      <c r="J107" s="467"/>
      <c r="K107" s="466"/>
    </row>
    <row r="108" spans="1:12" ht="12.75" customHeight="1" thickBot="1" x14ac:dyDescent="0.25">
      <c r="A108" s="1730" t="s">
        <v>508</v>
      </c>
      <c r="B108" s="1734"/>
      <c r="C108" s="1729">
        <f>SUM(C95:C107)</f>
        <v>194385</v>
      </c>
      <c r="D108" s="1729">
        <f t="shared" ref="D108:K108" si="3">SUM(D95:D107)</f>
        <v>210000</v>
      </c>
      <c r="E108" s="1729">
        <f t="shared" si="3"/>
        <v>0</v>
      </c>
      <c r="F108" s="1729">
        <f t="shared" si="3"/>
        <v>30000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1302310</v>
      </c>
      <c r="D109" s="1737">
        <f t="shared" si="4"/>
        <v>210000</v>
      </c>
      <c r="E109" s="1737">
        <f t="shared" si="4"/>
        <v>0</v>
      </c>
      <c r="F109" s="1737">
        <f t="shared" si="4"/>
        <v>30000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1158649</v>
      </c>
      <c r="D134" s="466"/>
      <c r="E134" s="561"/>
      <c r="F134" s="468"/>
      <c r="G134" s="467"/>
      <c r="H134" s="468"/>
      <c r="I134" s="468"/>
      <c r="J134" s="468"/>
      <c r="K134" s="468"/>
    </row>
    <row r="135" spans="1:11" ht="12.75" customHeight="1" x14ac:dyDescent="0.2">
      <c r="A135" s="463" t="s">
        <v>267</v>
      </c>
      <c r="B135" s="562">
        <v>3225</v>
      </c>
      <c r="C135" s="551" t="s">
        <v>1231</v>
      </c>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1158649</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29092</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29092</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1158649</v>
      </c>
      <c r="D172" s="1744">
        <f t="shared" si="6"/>
        <v>0</v>
      </c>
      <c r="E172" s="1744">
        <f t="shared" si="6"/>
        <v>0</v>
      </c>
      <c r="F172" s="1744">
        <f t="shared" si="6"/>
        <v>29092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1158649</v>
      </c>
      <c r="D173" s="1737">
        <f>SUM(D121,D172)</f>
        <v>0</v>
      </c>
      <c r="E173" s="1737">
        <f>SUM(E121,E172)</f>
        <v>0</v>
      </c>
      <c r="F173" s="1737">
        <f t="shared" ref="F173:K173" si="7">SUM(F121,F172)</f>
        <v>29092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t="s">
        <v>1231</v>
      </c>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2460959</v>
      </c>
      <c r="D275" s="1737">
        <f t="shared" si="12"/>
        <v>210000</v>
      </c>
      <c r="E275" s="1737">
        <f t="shared" si="12"/>
        <v>0</v>
      </c>
      <c r="F275" s="1737">
        <f t="shared" si="12"/>
        <v>59092</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2" activePane="bottomLeft" state="frozen"/>
      <selection activeCell="A47" sqref="A47"/>
      <selection pane="bottomLeft" activeCell="A38" sqref="A3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934180</v>
      </c>
      <c r="D5" s="466">
        <v>207466</v>
      </c>
      <c r="E5" s="466">
        <v>27947</v>
      </c>
      <c r="F5" s="466">
        <v>91486</v>
      </c>
      <c r="G5" s="466">
        <v>18628</v>
      </c>
      <c r="H5" s="466">
        <v>2478</v>
      </c>
      <c r="I5" s="467"/>
      <c r="J5" s="467"/>
      <c r="K5" s="1693">
        <f>SUM(C5:J5)</f>
        <v>1282185</v>
      </c>
      <c r="L5" s="466">
        <v>1358454</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t="s">
        <v>1231</v>
      </c>
      <c r="D13" s="466"/>
      <c r="E13" s="466"/>
      <c r="F13" s="466">
        <v>96204</v>
      </c>
      <c r="G13" s="466"/>
      <c r="H13" s="466"/>
      <c r="I13" s="467"/>
      <c r="J13" s="467"/>
      <c r="K13" s="1693">
        <f t="shared" si="0"/>
        <v>96204</v>
      </c>
      <c r="L13" s="466">
        <v>59910</v>
      </c>
    </row>
    <row r="14" spans="1:14" x14ac:dyDescent="0.2">
      <c r="A14" s="1526" t="s">
        <v>1020</v>
      </c>
      <c r="B14" s="615">
        <v>1500</v>
      </c>
      <c r="C14" s="466"/>
      <c r="D14" s="466"/>
      <c r="E14" s="466"/>
      <c r="F14" s="466" t="s">
        <v>1231</v>
      </c>
      <c r="G14" s="466"/>
      <c r="H14" s="466"/>
      <c r="I14" s="467"/>
      <c r="J14" s="467"/>
      <c r="K14" s="1693">
        <f t="shared" si="0"/>
        <v>0</v>
      </c>
      <c r="L14" s="466" t="s">
        <v>1231</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934180</v>
      </c>
      <c r="D33" s="1692">
        <f t="shared" ref="D33:L33" si="1">SUM(D5:D32)</f>
        <v>207466</v>
      </c>
      <c r="E33" s="1692">
        <f t="shared" si="1"/>
        <v>27947</v>
      </c>
      <c r="F33" s="1692">
        <f t="shared" si="1"/>
        <v>187690</v>
      </c>
      <c r="G33" s="1692">
        <f t="shared" si="1"/>
        <v>18628</v>
      </c>
      <c r="H33" s="1692">
        <f t="shared" si="1"/>
        <v>2478</v>
      </c>
      <c r="I33" s="1692">
        <f t="shared" si="1"/>
        <v>0</v>
      </c>
      <c r="J33" s="1692">
        <f t="shared" si="1"/>
        <v>0</v>
      </c>
      <c r="K33" s="1692">
        <f t="shared" si="1"/>
        <v>1378389</v>
      </c>
      <c r="L33" s="1692">
        <f t="shared" si="1"/>
        <v>1418364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v>729</v>
      </c>
      <c r="G45" s="466"/>
      <c r="H45" s="466"/>
      <c r="I45" s="467"/>
      <c r="J45" s="467"/>
      <c r="K45" s="1694">
        <f>SUM(C45:J45)</f>
        <v>729</v>
      </c>
      <c r="L45" s="466">
        <v>1350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729</v>
      </c>
      <c r="G47" s="1692">
        <f t="shared" si="4"/>
        <v>0</v>
      </c>
      <c r="H47" s="1692">
        <f t="shared" si="4"/>
        <v>0</v>
      </c>
      <c r="I47" s="1692">
        <f t="shared" si="4"/>
        <v>0</v>
      </c>
      <c r="J47" s="1692">
        <f t="shared" si="4"/>
        <v>0</v>
      </c>
      <c r="K47" s="1692">
        <f t="shared" si="4"/>
        <v>729</v>
      </c>
      <c r="L47" s="1692">
        <f>SUM(L44:L46)</f>
        <v>1350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25870</v>
      </c>
      <c r="F49" s="481"/>
      <c r="G49" s="481"/>
      <c r="H49" s="481">
        <v>83</v>
      </c>
      <c r="I49" s="467"/>
      <c r="J49" s="467"/>
      <c r="K49" s="1694">
        <f>SUM(C49:J49)</f>
        <v>25953</v>
      </c>
      <c r="L49" s="481">
        <v>28550</v>
      </c>
    </row>
    <row r="50" spans="1:14" x14ac:dyDescent="0.2">
      <c r="A50" s="1526" t="s">
        <v>872</v>
      </c>
      <c r="B50" s="615">
        <v>2320</v>
      </c>
      <c r="C50" s="466">
        <v>202924</v>
      </c>
      <c r="D50" s="466">
        <v>71482</v>
      </c>
      <c r="E50" s="466">
        <v>32729</v>
      </c>
      <c r="F50" s="466">
        <v>8651</v>
      </c>
      <c r="G50" s="466"/>
      <c r="H50" s="466"/>
      <c r="I50" s="467"/>
      <c r="J50" s="467"/>
      <c r="K50" s="1694">
        <f>SUM(C50:J50)</f>
        <v>315786</v>
      </c>
      <c r="L50" s="466">
        <v>328649</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202924</v>
      </c>
      <c r="D53" s="1692">
        <f t="shared" ref="D53:L53" si="5">SUM(D49:D52)</f>
        <v>71482</v>
      </c>
      <c r="E53" s="1692">
        <f t="shared" si="5"/>
        <v>58599</v>
      </c>
      <c r="F53" s="1692">
        <f t="shared" si="5"/>
        <v>8651</v>
      </c>
      <c r="G53" s="1692">
        <f t="shared" si="5"/>
        <v>0</v>
      </c>
      <c r="H53" s="1692">
        <f t="shared" si="5"/>
        <v>83</v>
      </c>
      <c r="I53" s="1692">
        <f t="shared" si="5"/>
        <v>0</v>
      </c>
      <c r="J53" s="1692">
        <f t="shared" si="5"/>
        <v>0</v>
      </c>
      <c r="K53" s="1692">
        <f t="shared" si="5"/>
        <v>341739</v>
      </c>
      <c r="L53" s="1692">
        <f t="shared" si="5"/>
        <v>357199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97586</v>
      </c>
      <c r="D55" s="481">
        <v>38607</v>
      </c>
      <c r="E55" s="481">
        <v>10214</v>
      </c>
      <c r="F55" s="481">
        <v>20565</v>
      </c>
      <c r="G55" s="481"/>
      <c r="H55" s="481"/>
      <c r="I55" s="467"/>
      <c r="J55" s="467"/>
      <c r="K55" s="1694">
        <f>SUM(C55:J55)</f>
        <v>166972</v>
      </c>
      <c r="L55" s="481">
        <v>172583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97586</v>
      </c>
      <c r="D57" s="1696">
        <f t="shared" ref="D57:K57" si="6">SUM(D55:D56)</f>
        <v>38607</v>
      </c>
      <c r="E57" s="1696">
        <f t="shared" si="6"/>
        <v>10214</v>
      </c>
      <c r="F57" s="1696">
        <f t="shared" si="6"/>
        <v>20565</v>
      </c>
      <c r="G57" s="1696">
        <f t="shared" si="6"/>
        <v>0</v>
      </c>
      <c r="H57" s="1696">
        <f t="shared" si="6"/>
        <v>0</v>
      </c>
      <c r="I57" s="1696">
        <f t="shared" si="6"/>
        <v>0</v>
      </c>
      <c r="J57" s="1696">
        <f t="shared" si="6"/>
        <v>0</v>
      </c>
      <c r="K57" s="1696">
        <f t="shared" si="6"/>
        <v>166972</v>
      </c>
      <c r="L57" s="1692">
        <f>SUM(L55:L56)</f>
        <v>172583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0</v>
      </c>
      <c r="F65" s="1692">
        <f t="shared" si="8"/>
        <v>0</v>
      </c>
      <c r="G65" s="1692">
        <f t="shared" si="8"/>
        <v>0</v>
      </c>
      <c r="H65" s="1692">
        <f t="shared" si="8"/>
        <v>0</v>
      </c>
      <c r="I65" s="1692">
        <f t="shared" si="8"/>
        <v>0</v>
      </c>
      <c r="J65" s="1692">
        <f t="shared" si="8"/>
        <v>0</v>
      </c>
      <c r="K65" s="1692">
        <f t="shared" si="8"/>
        <v>0</v>
      </c>
      <c r="L65" s="1692">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300510</v>
      </c>
      <c r="D74" s="1699">
        <f t="shared" ref="D74:K74" si="10">SUM(D42,D47,D53,D57,D65,D72,D73)</f>
        <v>110089</v>
      </c>
      <c r="E74" s="1699">
        <f t="shared" si="10"/>
        <v>68813</v>
      </c>
      <c r="F74" s="1699">
        <f t="shared" si="10"/>
        <v>29945</v>
      </c>
      <c r="G74" s="1699">
        <f t="shared" si="10"/>
        <v>0</v>
      </c>
      <c r="H74" s="1699">
        <f t="shared" si="10"/>
        <v>83</v>
      </c>
      <c r="I74" s="1699">
        <f t="shared" si="10"/>
        <v>0</v>
      </c>
      <c r="J74" s="1699">
        <f t="shared" si="10"/>
        <v>0</v>
      </c>
      <c r="K74" s="1699">
        <f t="shared" si="10"/>
        <v>509440</v>
      </c>
      <c r="L74" s="1699">
        <f>SUM(L42,L47,L53,L57,L65,L72,L73)</f>
        <v>531132</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v>
      </c>
      <c r="M113" s="614"/>
      <c r="N113" s="614"/>
    </row>
    <row r="114" spans="1:14" ht="12.75" customHeight="1" thickTop="1" thickBot="1" x14ac:dyDescent="0.25">
      <c r="A114" s="1690" t="s">
        <v>50</v>
      </c>
      <c r="B114" s="1704"/>
      <c r="C114" s="1692">
        <f>SUM(C33,C74,C75,C102,C112,C113)</f>
        <v>1234690</v>
      </c>
      <c r="D114" s="1692">
        <f t="shared" ref="D114:K114" si="13">SUM(D33,D74,D75,D102,D112,D113)</f>
        <v>317555</v>
      </c>
      <c r="E114" s="1692">
        <f t="shared" si="13"/>
        <v>96760</v>
      </c>
      <c r="F114" s="1692">
        <f t="shared" si="13"/>
        <v>217635</v>
      </c>
      <c r="G114" s="1692">
        <f t="shared" si="13"/>
        <v>18628</v>
      </c>
      <c r="H114" s="1692">
        <f>SUM(H33,H74,H75,H102,H112,H113)</f>
        <v>2561</v>
      </c>
      <c r="I114" s="1692">
        <f t="shared" si="13"/>
        <v>0</v>
      </c>
      <c r="J114" s="1692">
        <f t="shared" si="13"/>
        <v>0</v>
      </c>
      <c r="K114" s="1692">
        <f t="shared" si="13"/>
        <v>1887829</v>
      </c>
      <c r="L114" s="1692">
        <f>SUM(L33,L74,L75,L102,L112,L113)</f>
        <v>1949996</v>
      </c>
    </row>
    <row r="115" spans="1:14" ht="13.5" thickTop="1" x14ac:dyDescent="0.2">
      <c r="A115" s="2197" t="s">
        <v>1053</v>
      </c>
      <c r="B115" s="2198"/>
      <c r="C115" s="619"/>
      <c r="D115" s="619"/>
      <c r="E115" s="619"/>
      <c r="F115" s="619"/>
      <c r="G115" s="619"/>
      <c r="H115" s="619"/>
      <c r="I115" s="619"/>
      <c r="J115" s="619"/>
      <c r="K115" s="1706">
        <f>'Revenues 9-14'!C275-'Expenditures 15-22'!K114</f>
        <v>573130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64177</v>
      </c>
      <c r="D124" s="466">
        <v>13543</v>
      </c>
      <c r="E124" s="466">
        <v>116345</v>
      </c>
      <c r="F124" s="466">
        <v>86201</v>
      </c>
      <c r="G124" s="466">
        <v>47540</v>
      </c>
      <c r="H124" s="466"/>
      <c r="I124" s="467"/>
      <c r="J124" s="467"/>
      <c r="K124" s="1692">
        <f>SUM(C124:J124)</f>
        <v>327806</v>
      </c>
      <c r="L124" s="466">
        <v>329769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64177</v>
      </c>
      <c r="D127" s="1692">
        <f t="shared" ref="D127:L127" si="14">SUM(D122:D126)</f>
        <v>13543</v>
      </c>
      <c r="E127" s="1692">
        <f t="shared" si="14"/>
        <v>116345</v>
      </c>
      <c r="F127" s="1692">
        <f t="shared" si="14"/>
        <v>86201</v>
      </c>
      <c r="G127" s="1692">
        <f t="shared" si="14"/>
        <v>47540</v>
      </c>
      <c r="H127" s="1692">
        <f t="shared" si="14"/>
        <v>0</v>
      </c>
      <c r="I127" s="1692">
        <f t="shared" si="14"/>
        <v>0</v>
      </c>
      <c r="J127" s="1692">
        <f t="shared" si="14"/>
        <v>0</v>
      </c>
      <c r="K127" s="1692">
        <f t="shared" si="14"/>
        <v>327806</v>
      </c>
      <c r="L127" s="1692">
        <f t="shared" si="14"/>
        <v>329769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64177</v>
      </c>
      <c r="D129" s="1699">
        <f t="shared" ref="D129:L129" si="15">SUM(D120,D127,D128)</f>
        <v>13543</v>
      </c>
      <c r="E129" s="1699">
        <f t="shared" si="15"/>
        <v>116345</v>
      </c>
      <c r="F129" s="1699">
        <f t="shared" si="15"/>
        <v>86201</v>
      </c>
      <c r="G129" s="1699">
        <f t="shared" si="15"/>
        <v>47540</v>
      </c>
      <c r="H129" s="1699">
        <f t="shared" si="15"/>
        <v>0</v>
      </c>
      <c r="I129" s="1699">
        <f t="shared" si="15"/>
        <v>0</v>
      </c>
      <c r="J129" s="1699">
        <f t="shared" si="15"/>
        <v>0</v>
      </c>
      <c r="K129" s="1699">
        <f t="shared" si="15"/>
        <v>327806</v>
      </c>
      <c r="L129" s="1699">
        <f t="shared" si="15"/>
        <v>329769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1000</v>
      </c>
    </row>
    <row r="151" spans="1:14" ht="12.75" customHeight="1" thickTop="1" thickBot="1" x14ac:dyDescent="0.25">
      <c r="A151" s="2187" t="s">
        <v>641</v>
      </c>
      <c r="B151" s="2169"/>
      <c r="C151" s="1692">
        <f>SUM(C129,C130,C139,C149,C150)</f>
        <v>64177</v>
      </c>
      <c r="D151" s="1692">
        <f t="shared" ref="D151:K151" si="16">SUM(D129,D130,D139,D149,D150)</f>
        <v>13543</v>
      </c>
      <c r="E151" s="1692">
        <f t="shared" si="16"/>
        <v>116345</v>
      </c>
      <c r="F151" s="1692">
        <f t="shared" si="16"/>
        <v>86201</v>
      </c>
      <c r="G151" s="1692">
        <f t="shared" si="16"/>
        <v>47540</v>
      </c>
      <c r="H151" s="1692">
        <f t="shared" si="16"/>
        <v>0</v>
      </c>
      <c r="I151" s="1692">
        <f t="shared" si="16"/>
        <v>0</v>
      </c>
      <c r="J151" s="1692">
        <f t="shared" si="16"/>
        <v>0</v>
      </c>
      <c r="K151" s="1692">
        <f t="shared" si="16"/>
        <v>327806</v>
      </c>
      <c r="L151" s="1692">
        <f>SUM(L129,L130,L139,L149,L150)</f>
        <v>330769</v>
      </c>
    </row>
    <row r="152" spans="1:14" ht="12.75" customHeight="1" thickTop="1" x14ac:dyDescent="0.2">
      <c r="A152" s="2190" t="s">
        <v>1240</v>
      </c>
      <c r="B152" s="2191"/>
      <c r="C152" s="619"/>
      <c r="D152" s="619"/>
      <c r="E152" s="619"/>
      <c r="F152" s="619"/>
      <c r="G152" s="619"/>
      <c r="H152" s="619"/>
      <c r="I152" s="619"/>
      <c r="J152" s="617"/>
      <c r="K152" s="1706">
        <f>'Revenues 9-14'!D275-'Expenditures 15-22'!K151</f>
        <v>-117806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7" t="s">
        <v>1053</v>
      </c>
      <c r="B175" s="2198"/>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16009</v>
      </c>
      <c r="D182" s="466">
        <v>2246</v>
      </c>
      <c r="E182" s="466">
        <v>19658</v>
      </c>
      <c r="F182" s="466">
        <v>2259</v>
      </c>
      <c r="G182" s="466"/>
      <c r="H182" s="466"/>
      <c r="I182" s="467"/>
      <c r="J182" s="467"/>
      <c r="K182" s="1693">
        <f>SUM(C182:J182)</f>
        <v>40172</v>
      </c>
      <c r="L182" s="466">
        <v>41343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16009</v>
      </c>
      <c r="D184" s="1699">
        <f t="shared" ref="D184:J184" si="17">SUM(D180,D182,D183)</f>
        <v>2246</v>
      </c>
      <c r="E184" s="1699">
        <f t="shared" si="17"/>
        <v>19658</v>
      </c>
      <c r="F184" s="1699">
        <f t="shared" si="17"/>
        <v>2259</v>
      </c>
      <c r="G184" s="1699">
        <f t="shared" si="17"/>
        <v>0</v>
      </c>
      <c r="H184" s="1699">
        <f t="shared" si="17"/>
        <v>0</v>
      </c>
      <c r="I184" s="1699">
        <f t="shared" si="17"/>
        <v>0</v>
      </c>
      <c r="J184" s="1699">
        <f t="shared" si="17"/>
        <v>0</v>
      </c>
      <c r="K184" s="1699">
        <f>SUM(K180,K182,K183)</f>
        <v>40172</v>
      </c>
      <c r="L184" s="1699">
        <f>SUM(L180, L182:L183)</f>
        <v>41343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16009</v>
      </c>
      <c r="D210" s="1692">
        <f>SUM(D184,D185)</f>
        <v>2246</v>
      </c>
      <c r="E210" s="1692">
        <f>SUM(E184,E185,E196)</f>
        <v>19658</v>
      </c>
      <c r="F210" s="1692">
        <f>SUM(F184,F185)</f>
        <v>2259</v>
      </c>
      <c r="G210" s="1692">
        <f>SUM(G184,G185)</f>
        <v>0</v>
      </c>
      <c r="H210" s="1692">
        <f>SUM(H184,H185,H196,H208,H209)</f>
        <v>0</v>
      </c>
      <c r="I210" s="1692">
        <f>SUM(I184,I185)</f>
        <v>0</v>
      </c>
      <c r="J210" s="1692">
        <f>SUM(J184,J185)</f>
        <v>0</v>
      </c>
      <c r="K210" s="1693">
        <f>SUM(K184,K185,K196,K208,K209)</f>
        <v>40172</v>
      </c>
      <c r="L210" s="1692">
        <f>SUM(L184,L185,L196,L208,L209)</f>
        <v>41343</v>
      </c>
    </row>
    <row r="211" spans="1:14" ht="13.5" thickTop="1" x14ac:dyDescent="0.2">
      <c r="A211" s="2197" t="s">
        <v>1053</v>
      </c>
      <c r="B211" s="2198"/>
      <c r="C211" s="619"/>
      <c r="D211" s="619"/>
      <c r="E211" s="619"/>
      <c r="F211" s="619"/>
      <c r="G211" s="619"/>
      <c r="H211" s="619"/>
      <c r="I211" s="617"/>
      <c r="J211" s="617"/>
      <c r="K211" s="1706">
        <f>'Revenues 9-14'!F275-'Expenditures 15-22'!K210</f>
        <v>18920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7" t="s">
        <v>1053</v>
      </c>
      <c r="B296" s="2198"/>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3" t="s">
        <v>1053</v>
      </c>
      <c r="B343" s="2184"/>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7" t="s">
        <v>1053</v>
      </c>
      <c r="B368" s="2198"/>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25" right="0.25" top="0.75" bottom="0.75" header="0.3" footer="0.3"/>
  <pageSetup scale="65"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2038</v>
      </c>
      <c r="D2" s="724" t="s">
        <v>2045</v>
      </c>
      <c r="E2" s="724" t="s">
        <v>2046</v>
      </c>
      <c r="F2" s="1909"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0</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0</v>
      </c>
      <c r="I23" s="1780">
        <f>SUM(I14:I16,I21,I22)</f>
        <v>0</v>
      </c>
      <c r="J23" s="1780">
        <f>SUM(J14:J16,J21,J22)</f>
        <v>0</v>
      </c>
      <c r="K23" s="1780">
        <f>SUM(K14:K16,K21,K22)</f>
        <v>0</v>
      </c>
    </row>
    <row r="24" spans="1:11" ht="14.25" thickTop="1" thickBot="1" x14ac:dyDescent="0.25">
      <c r="A24" s="2251" t="s">
        <v>2026</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284504</v>
      </c>
      <c r="D5" s="842"/>
      <c r="E5" s="842"/>
      <c r="F5" s="1782">
        <f>(C5+D5)-E5</f>
        <v>284504</v>
      </c>
      <c r="G5" s="838"/>
      <c r="H5" s="843"/>
      <c r="I5" s="843"/>
      <c r="J5" s="843"/>
      <c r="K5" s="794"/>
      <c r="L5" s="1791">
        <f>F5-K5</f>
        <v>284504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3138264</v>
      </c>
      <c r="D8" s="845">
        <v>47540</v>
      </c>
      <c r="E8" s="845"/>
      <c r="F8" s="1782">
        <f>(C8+D8)-E8</f>
        <v>3185804</v>
      </c>
      <c r="G8" s="844">
        <v>50</v>
      </c>
      <c r="H8" s="766">
        <v>1635300</v>
      </c>
      <c r="I8" s="766">
        <v>63240</v>
      </c>
      <c r="J8" s="766"/>
      <c r="K8" s="1791">
        <f>(H8+I8)-J8</f>
        <v>1698540</v>
      </c>
      <c r="L8" s="1791">
        <f>F8-K8</f>
        <v>1487264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465792</v>
      </c>
      <c r="D10" s="847"/>
      <c r="E10" s="847"/>
      <c r="F10" s="1786">
        <f>(C10+D10)-E10</f>
        <v>465792</v>
      </c>
      <c r="G10" s="844">
        <v>20</v>
      </c>
      <c r="H10" s="848">
        <v>184336</v>
      </c>
      <c r="I10" s="848">
        <v>22563</v>
      </c>
      <c r="J10" s="848"/>
      <c r="K10" s="1791">
        <f>(H10+I10)-J10</f>
        <v>206899</v>
      </c>
      <c r="L10" s="1791">
        <f>F10-K10</f>
        <v>258893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1854759</v>
      </c>
      <c r="D12" s="845">
        <v>18628</v>
      </c>
      <c r="E12" s="845"/>
      <c r="F12" s="1782">
        <f>(C12+D12)-E12</f>
        <v>1873387</v>
      </c>
      <c r="G12" s="844">
        <v>10</v>
      </c>
      <c r="H12" s="766">
        <v>1794131</v>
      </c>
      <c r="I12" s="766">
        <v>10010</v>
      </c>
      <c r="J12" s="766"/>
      <c r="K12" s="1791">
        <f>(H12+I12)-J12</f>
        <v>1804141</v>
      </c>
      <c r="L12" s="1791">
        <f>F12-K12</f>
        <v>69246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5743319</v>
      </c>
      <c r="D16" s="1782">
        <f>SUM(D3,D5:D6,D8:D10,D12:D15)</f>
        <v>66168</v>
      </c>
      <c r="E16" s="1782">
        <f>SUM(E3,E5:E6,E8:E10,E12:E15)</f>
        <v>0</v>
      </c>
      <c r="F16" s="1782">
        <f>SUM(F3,F5:F6,F8:F10,F12:F15)</f>
        <v>5809487</v>
      </c>
      <c r="G16" s="844"/>
      <c r="H16" s="1782">
        <f>SUM(H3,H6,H8:H10,H12:H14,)</f>
        <v>3613767</v>
      </c>
      <c r="I16" s="1782">
        <f>SUM(I3,I6,I8:I10,I12:I14,)</f>
        <v>95813</v>
      </c>
      <c r="J16" s="1782">
        <f>SUM(J3,J6,J8:J10,J12:J14,)</f>
        <v>0</v>
      </c>
      <c r="K16" s="1782">
        <f>(H16+I16)-J16</f>
        <v>3709580</v>
      </c>
      <c r="L16" s="1782">
        <f>F16-K16</f>
        <v>2099907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95813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1887829</v>
      </c>
      <c r="G8" s="866"/>
    </row>
    <row r="9" spans="1:7" x14ac:dyDescent="0.2">
      <c r="A9" s="870" t="s">
        <v>480</v>
      </c>
      <c r="B9" s="871" t="s">
        <v>1989</v>
      </c>
      <c r="C9" s="872"/>
      <c r="D9" s="870" t="s">
        <v>522</v>
      </c>
      <c r="E9" s="869"/>
      <c r="F9" s="1935">
        <f>'Expenditures 15-22'!K151</f>
        <v>327806</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40172</v>
      </c>
      <c r="G11" s="873"/>
    </row>
    <row r="12" spans="1:7" x14ac:dyDescent="0.2">
      <c r="A12" s="870" t="s">
        <v>482</v>
      </c>
      <c r="B12" s="871" t="s">
        <v>1992</v>
      </c>
      <c r="C12" s="872"/>
      <c r="D12" s="870" t="s">
        <v>522</v>
      </c>
      <c r="E12" s="869"/>
      <c r="F12" s="1935">
        <f>'Expenditures 15-22'!K295</f>
        <v>0</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2255807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18628</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47540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66168</v>
      </c>
      <c r="G76" s="866"/>
    </row>
    <row r="77" spans="1:8" s="894" customFormat="1" ht="12" customHeight="1" thickTop="1" thickBot="1" x14ac:dyDescent="0.25">
      <c r="A77" s="1801"/>
      <c r="B77" s="1798"/>
      <c r="C77" s="1794"/>
      <c r="D77" s="1799" t="s">
        <v>2012</v>
      </c>
      <c r="E77" s="1796"/>
      <c r="F77" s="1802">
        <f>(F14-F76)</f>
        <v>2189639</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76288</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1923</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420552</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1158649</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29092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1686504</v>
      </c>
    </row>
    <row r="179" spans="1:7" ht="12" customHeight="1" x14ac:dyDescent="0.2">
      <c r="A179" s="1792"/>
      <c r="B179" s="1806"/>
      <c r="C179" s="1807"/>
      <c r="D179" s="1808" t="s">
        <v>2015</v>
      </c>
      <c r="E179" s="1809"/>
      <c r="F179" s="1811">
        <f>'PCTC-OEPP 27-28'!F77-F178</f>
        <v>503135</v>
      </c>
    </row>
    <row r="180" spans="1:7" ht="12" customHeight="1" x14ac:dyDescent="0.2">
      <c r="A180" s="1792"/>
      <c r="B180" s="1806"/>
      <c r="C180" s="1807"/>
      <c r="D180" s="1808" t="s">
        <v>1924</v>
      </c>
      <c r="E180" s="1809"/>
      <c r="F180" s="1811">
        <f>'Cap Outlay Deprec 26'!I18</f>
        <v>95813</v>
      </c>
    </row>
    <row r="181" spans="1:7" ht="12" customHeight="1" x14ac:dyDescent="0.2">
      <c r="A181" s="1792"/>
      <c r="B181" s="1806"/>
      <c r="C181" s="1807"/>
      <c r="D181" s="1808" t="s">
        <v>2016</v>
      </c>
      <c r="E181" s="1809"/>
      <c r="F181" s="1811">
        <f>F179+F180</f>
        <v>598948</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6" activePane="bottomLeft" state="frozen"/>
      <selection pane="bottomLeft" activeCell="A26" sqref="A26"/>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956"/>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B13" sqref="B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3" t="s">
        <v>1945</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1359761</v>
      </c>
      <c r="F19" s="1822"/>
      <c r="G19" s="1824">
        <f>'Expenditures 15-22'!K33-SUM('Expenditures 15-22'!G33,'Expenditures 15-22'!I33)+'Expenditures 15-22'!D229</f>
        <v>1359761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5"/>
      <c r="E22" s="1827">
        <f>'Expenditures 15-22'!K47-SUM('Expenditures 15-22'!G47,'Expenditures 15-22'!I47)+'Expenditures 15-22'!D243</f>
        <v>729</v>
      </c>
      <c r="F22" s="1825"/>
      <c r="G22" s="1828">
        <f>'Expenditures 15-22'!K47-SUM('Expenditures 15-22'!G47,'Expenditures 15-22'!I47)+'Expenditures 15-22'!D243</f>
        <v>729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341739</v>
      </c>
      <c r="F23" s="1825"/>
      <c r="G23" s="1827">
        <f>'Expenditures 15-22'!K53-SUM('Expenditures 15-22'!G53,'Expenditures 15-22'!I53)+'Expenditures 15-22'!D257+'Expenditures 15-22'!K330-SUM('Expenditures 15-22'!G330,'Expenditures 15-22'!I330)</f>
        <v>341739</v>
      </c>
      <c r="H23" s="988"/>
      <c r="I23" s="162"/>
    </row>
    <row r="24" spans="1:9" s="669" customFormat="1" ht="12" customHeight="1" x14ac:dyDescent="0.2">
      <c r="A24" s="995" t="s">
        <v>587</v>
      </c>
      <c r="B24" s="996"/>
      <c r="C24" s="994">
        <v>2400</v>
      </c>
      <c r="D24" s="1825"/>
      <c r="E24" s="1827">
        <f>'Expenditures 15-22'!K57-SUM('Expenditures 15-22'!G57,'Expenditures 15-22'!I57)+'Expenditures 15-22'!D261</f>
        <v>166972</v>
      </c>
      <c r="F24" s="1825"/>
      <c r="G24" s="1828">
        <f>'Expenditures 15-22'!K57-SUM('Expenditures 15-22'!G57,'Expenditures 15-22'!I57)+'Expenditures 15-22'!D261</f>
        <v>166972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280266</v>
      </c>
      <c r="F28" s="1829">
        <f>'Expenditures 15-22'!K61-SUM('Expenditures 15-22'!G61,'Expenditures 15-22'!I61)+'Expenditures 15-22'!K124-SUM('Expenditures 15-22'!G124,'Expenditures 15-22'!I124)+'Expenditures 15-22'!D266-E9</f>
        <v>280266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40172</v>
      </c>
      <c r="F29" s="1825"/>
      <c r="G29" s="1828">
        <f>'Expenditures 15-22'!K62-SUM('Expenditures 15-22'!G62,'Expenditures 15-22'!I62)+'Expenditures 15-22'!K125-SUM('Expenditures 15-22'!G125,'Expenditures 15-22'!I125)+'Expenditures 15-22'!K182-SUM('Expenditures 15-22'!G182,'Expenditures 15-22'!I182)+'Expenditures 15-22'!D267</f>
        <v>40172</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2189639</v>
      </c>
      <c r="F41" s="1829">
        <f>SUM(F19:F39)</f>
        <v>280266</v>
      </c>
      <c r="G41" s="1829">
        <f>SUM(G19:G40)</f>
        <v>1909373</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0</v>
      </c>
      <c r="F43" s="1830" t="s">
        <v>495</v>
      </c>
      <c r="G43" s="1831">
        <f>F41</f>
        <v>280266</v>
      </c>
    </row>
    <row r="44" spans="1:7" ht="12" customHeight="1" x14ac:dyDescent="0.2">
      <c r="A44" s="988"/>
      <c r="B44" s="162"/>
      <c r="C44" s="1002"/>
      <c r="D44" s="1830" t="s">
        <v>494</v>
      </c>
      <c r="E44" s="1831">
        <f>E41</f>
        <v>2189639</v>
      </c>
      <c r="F44" s="1830" t="s">
        <v>494</v>
      </c>
      <c r="G44" s="1831">
        <f>G41</f>
        <v>1909373</v>
      </c>
    </row>
    <row r="45" spans="1:7" ht="12" customHeight="1" x14ac:dyDescent="0.2">
      <c r="A45" s="988"/>
      <c r="B45" s="162"/>
      <c r="C45" s="162"/>
      <c r="D45" s="1832" t="s">
        <v>1063</v>
      </c>
      <c r="E45" s="1833">
        <f>(E43/E44)</f>
        <v>0</v>
      </c>
      <c r="F45" s="1832" t="s">
        <v>1063</v>
      </c>
      <c r="G45" s="1833">
        <f>(G43/G44)</f>
        <v>0.14678431087063659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8" sqref="A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Kankakee Area Career Center</v>
      </c>
      <c r="D6" s="2313"/>
      <c r="E6" s="2313"/>
      <c r="F6" s="1877"/>
    </row>
    <row r="7" spans="1:10" ht="11.25" customHeight="1" thickBot="1" x14ac:dyDescent="0.3">
      <c r="A7" s="1875"/>
      <c r="B7" s="1876"/>
      <c r="C7" s="2314">
        <f>COVER!A13</f>
        <v>32000000040</v>
      </c>
      <c r="D7" s="2314"/>
      <c r="E7" s="231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Kankakee Area Career Center</v>
      </c>
      <c r="J6" s="2334"/>
      <c r="Q6" s="1686"/>
    </row>
    <row r="7" spans="1:17" x14ac:dyDescent="0.2">
      <c r="A7" s="2335" t="s">
        <v>924</v>
      </c>
      <c r="B7" s="2336"/>
      <c r="C7" s="2336"/>
      <c r="D7" s="2336"/>
      <c r="E7" s="2337"/>
      <c r="F7" s="1018"/>
      <c r="G7" s="1010"/>
      <c r="H7" s="1017" t="s">
        <v>390</v>
      </c>
      <c r="I7" s="2338">
        <f>COVER!A13</f>
        <v>32000000040</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315786</v>
      </c>
      <c r="F12" s="1040"/>
      <c r="G12" s="1834">
        <f t="shared" ref="G12:G18" si="0">SUM(E12:F12)</f>
        <v>315786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315786</v>
      </c>
      <c r="F19" s="1836">
        <f t="shared" si="2"/>
        <v>0</v>
      </c>
      <c r="G19" s="1836">
        <f t="shared" si="2"/>
        <v>315786</v>
      </c>
      <c r="H19" s="1836">
        <f t="shared" si="2"/>
        <v>0</v>
      </c>
      <c r="I19" s="1836">
        <f t="shared" si="2"/>
        <v>0</v>
      </c>
      <c r="J19" s="1836">
        <f t="shared" si="2"/>
        <v>0</v>
      </c>
    </row>
    <row r="20" spans="1:10" ht="13.5" thickTop="1" x14ac:dyDescent="0.2">
      <c r="A20" s="1036">
        <v>9</v>
      </c>
      <c r="B20" s="2345" t="s">
        <v>1703</v>
      </c>
      <c r="C20" s="2345"/>
      <c r="D20" s="2346"/>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Kankakee Area Career Center</v>
      </c>
    </row>
    <row r="65" spans="2:2" x14ac:dyDescent="0.2">
      <c r="B65" s="1071">
        <f>COVER!A13</f>
        <v>32000000040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2460959</v>
      </c>
      <c r="C8" s="1838">
        <f>'Acct Summary 7-8'!D8</f>
        <v>210000</v>
      </c>
      <c r="D8" s="1838">
        <f>'Acct Summary 7-8'!F8</f>
        <v>59092</v>
      </c>
      <c r="E8" s="1838">
        <f>'Acct Summary 7-8'!I8</f>
        <v>0</v>
      </c>
      <c r="F8" s="1838">
        <f>SUM(B8:E8)</f>
        <v>2730051</v>
      </c>
    </row>
    <row r="9" spans="1:8" s="1080" customFormat="1" ht="14.25" customHeight="1" thickBot="1" x14ac:dyDescent="0.25">
      <c r="A9" s="1079" t="s">
        <v>1436</v>
      </c>
      <c r="B9" s="1839">
        <f>'Acct Summary 7-8'!C17</f>
        <v>1887829</v>
      </c>
      <c r="C9" s="1839">
        <f>'Acct Summary 7-8'!D17</f>
        <v>327806</v>
      </c>
      <c r="D9" s="1839">
        <f>'Acct Summary 7-8'!F17</f>
        <v>40172</v>
      </c>
      <c r="E9" s="1838"/>
      <c r="F9" s="1838">
        <f>SUM(B9:E9)</f>
        <v>2255807</v>
      </c>
    </row>
    <row r="10" spans="1:8" s="1080" customFormat="1" ht="14.25" thickTop="1" thickBot="1" x14ac:dyDescent="0.25">
      <c r="A10" s="1081" t="s">
        <v>1437</v>
      </c>
      <c r="B10" s="1840">
        <f>(B8-B9)</f>
        <v>573130</v>
      </c>
      <c r="C10" s="1840">
        <f>(C8-C9)</f>
        <v>-117806</v>
      </c>
      <c r="D10" s="1840">
        <f>(D8-D9)</f>
        <v>18920</v>
      </c>
      <c r="E10" s="1839">
        <f>(E8-E9)</f>
        <v>0</v>
      </c>
      <c r="F10" s="1841">
        <f>SUM(F8-F9)</f>
        <v>474244</v>
      </c>
    </row>
    <row r="11" spans="1:8" s="1080" customFormat="1" ht="14.25" thickTop="1" thickBot="1" x14ac:dyDescent="0.25">
      <c r="A11" s="1082" t="s">
        <v>1785</v>
      </c>
      <c r="B11" s="1842">
        <f>'Acct Summary 7-8'!C81</f>
        <v>1314685</v>
      </c>
      <c r="C11" s="1842">
        <f>'Acct Summary 7-8'!D81</f>
        <v>55997</v>
      </c>
      <c r="D11" s="1842">
        <f>'Acct Summary 7-8'!F81</f>
        <v>64433</v>
      </c>
      <c r="E11" s="1842">
        <f>'Acct Summary 7-8'!I81</f>
        <v>0</v>
      </c>
      <c r="F11" s="1843">
        <f>SUM(B11:E11)</f>
        <v>1435115</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B19" colorId="8" zoomScale="110" zoomScaleNormal="110" workbookViewId="0">
      <selection activeCell="D57" sqref="D5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e">
        <f>IF('Assets-Liab 5-6'!C38+'Assets-Liab 5-6'!C39='Acct Summary 7-8'!C81,"OK","ERROR!")</f>
        <v>#VALUE!</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ENTRY REQUIRED!</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32000000040</v>
      </c>
    </row>
    <row r="3" spans="1:2" x14ac:dyDescent="0.2">
      <c r="A3" t="s">
        <v>1013</v>
      </c>
      <c r="B3" s="138" t="str">
        <f>COVER!A15</f>
        <v>Kankakee</v>
      </c>
    </row>
    <row r="4" spans="1:2" x14ac:dyDescent="0.2">
      <c r="A4" t="s">
        <v>1064</v>
      </c>
      <c r="B4" s="138" t="str">
        <f>COVER!A17</f>
        <v>Kankakee Area Career Center</v>
      </c>
    </row>
    <row r="5" spans="1:2" x14ac:dyDescent="0.2">
      <c r="A5" t="s">
        <v>728</v>
      </c>
      <c r="B5" s="138" t="str">
        <f>COVER!A38</f>
        <v>Matthew Kelley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East Main</v>
      </c>
    </row>
    <row r="19" spans="1:2" x14ac:dyDescent="0.2">
      <c r="A19" t="s">
        <v>941</v>
      </c>
      <c r="B19" s="138" t="str">
        <f>COVER!T25</f>
        <v>addredmin@russleigh.comss:</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1314685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1314685</v>
      </c>
      <c r="D92" s="2" t="str">
        <f t="shared" si="0"/>
        <v>Error?</v>
      </c>
    </row>
    <row r="93" spans="1:4" x14ac:dyDescent="0.2">
      <c r="A93" s="5">
        <v>32</v>
      </c>
      <c r="B93" s="138">
        <f>'Assets-Liab 5-6'!C41</f>
        <v>1314685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55997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55997</v>
      </c>
      <c r="D123" s="2" t="str">
        <f t="shared" si="0"/>
        <v>Error?</v>
      </c>
    </row>
    <row r="124" spans="1:4" x14ac:dyDescent="0.2">
      <c r="A124" s="5">
        <v>63</v>
      </c>
      <c r="B124" s="138">
        <f>'Assets-Liab 5-6'!D41</f>
        <v>55997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64433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64433</v>
      </c>
      <c r="D170" s="2" t="str">
        <f t="shared" si="1"/>
        <v>Error?</v>
      </c>
    </row>
    <row r="171" spans="1:4" x14ac:dyDescent="0.2">
      <c r="A171" s="5">
        <v>110</v>
      </c>
      <c r="B171" s="138">
        <f>'Assets-Liab 5-6'!F41</f>
        <v>64433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284504</v>
      </c>
      <c r="D273" s="2" t="str">
        <f t="shared" si="3"/>
        <v>Error?</v>
      </c>
    </row>
    <row r="274" spans="1:4" x14ac:dyDescent="0.2">
      <c r="A274" s="5">
        <v>213</v>
      </c>
      <c r="B274" s="138">
        <f>'Assets-Liab 5-6'!M17</f>
        <v>3185804</v>
      </c>
      <c r="D274" s="2" t="str">
        <f t="shared" si="3"/>
        <v>Error?</v>
      </c>
    </row>
    <row r="275" spans="1:4" x14ac:dyDescent="0.2">
      <c r="A275" s="5">
        <v>214</v>
      </c>
      <c r="B275" s="138">
        <f>'Assets-Liab 5-6'!M18</f>
        <v>465792</v>
      </c>
      <c r="D275" s="2" t="str">
        <f t="shared" si="3"/>
        <v>Error?</v>
      </c>
    </row>
    <row r="276" spans="1:4" x14ac:dyDescent="0.2">
      <c r="A276" s="5">
        <v>215</v>
      </c>
      <c r="B276" s="138">
        <f>'Assets-Liab 5-6'!M19</f>
        <v>1873387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5809487</v>
      </c>
      <c r="C279" s="2" t="s">
        <v>594</v>
      </c>
      <c r="D279" s="2" t="str">
        <f t="shared" si="3"/>
        <v>Error?</v>
      </c>
    </row>
    <row r="280" spans="1:4" x14ac:dyDescent="0.2">
      <c r="A280" s="5">
        <v>219</v>
      </c>
      <c r="B280" s="138">
        <f>'Assets-Liab 5-6'!M40</f>
        <v>5809487</v>
      </c>
      <c r="D280" s="2" t="str">
        <f t="shared" si="3"/>
        <v>Error?</v>
      </c>
    </row>
    <row r="281" spans="1:4" x14ac:dyDescent="0.2">
      <c r="A281" s="5">
        <v>220</v>
      </c>
      <c r="B281" s="138">
        <f>'Assets-Liab 5-6'!M41</f>
        <v>5809487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934180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t="str">
        <f>'Expenditures 15-22'!C13</f>
        <v xml:space="preserve"> </v>
      </c>
      <c r="D717" s="2" t="e">
        <f t="shared" si="10"/>
        <v>#VALUE!</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934180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202924</v>
      </c>
      <c r="D733" s="2" t="str">
        <f t="shared" si="10"/>
        <v>Error?</v>
      </c>
    </row>
    <row r="734" spans="1:4" x14ac:dyDescent="0.2">
      <c r="A734" s="5">
        <v>673</v>
      </c>
      <c r="B734" s="138">
        <f>'Expenditures 15-22'!C53</f>
        <v>202924</v>
      </c>
      <c r="C734" s="2" t="s">
        <v>594</v>
      </c>
      <c r="D734" s="2" t="str">
        <f t="shared" si="10"/>
        <v>Error?</v>
      </c>
    </row>
    <row r="735" spans="1:4" x14ac:dyDescent="0.2">
      <c r="A735" s="5">
        <v>674</v>
      </c>
      <c r="B735" s="138">
        <f>'Expenditures 15-22'!C55</f>
        <v>97586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97586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300510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1234690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207466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207466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71482</v>
      </c>
      <c r="D791" s="2" t="str">
        <f t="shared" si="11"/>
        <v>Error?</v>
      </c>
    </row>
    <row r="792" spans="1:4" x14ac:dyDescent="0.2">
      <c r="A792" s="5">
        <v>731</v>
      </c>
      <c r="B792" s="138">
        <f>'Expenditures 15-22'!D53</f>
        <v>71482</v>
      </c>
      <c r="C792" s="2" t="s">
        <v>594</v>
      </c>
      <c r="D792" s="2" t="str">
        <f t="shared" si="11"/>
        <v>Error?</v>
      </c>
    </row>
    <row r="793" spans="1:4" x14ac:dyDescent="0.2">
      <c r="A793" s="5">
        <v>732</v>
      </c>
      <c r="B793" s="138">
        <f>'Expenditures 15-22'!D55</f>
        <v>38607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38607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110089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317555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27947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27947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25870</v>
      </c>
      <c r="D848" s="2" t="str">
        <f t="shared" si="12"/>
        <v>Error?</v>
      </c>
    </row>
    <row r="849" spans="1:4" x14ac:dyDescent="0.2">
      <c r="A849" s="5">
        <v>788</v>
      </c>
      <c r="B849" s="138">
        <f>'Expenditures 15-22'!E50</f>
        <v>32729</v>
      </c>
      <c r="D849" s="2" t="str">
        <f t="shared" si="12"/>
        <v>Error?</v>
      </c>
    </row>
    <row r="850" spans="1:4" x14ac:dyDescent="0.2">
      <c r="A850" s="5">
        <v>789</v>
      </c>
      <c r="B850" s="138">
        <f>'Expenditures 15-22'!E53</f>
        <v>58599</v>
      </c>
      <c r="C850" s="2" t="s">
        <v>594</v>
      </c>
      <c r="D850" s="2" t="str">
        <f t="shared" si="12"/>
        <v>Error?</v>
      </c>
    </row>
    <row r="851" spans="1:4" x14ac:dyDescent="0.2">
      <c r="A851" s="5">
        <v>790</v>
      </c>
      <c r="B851" s="138">
        <f>'Expenditures 15-22'!E55</f>
        <v>10214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10214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68813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96760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91486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96204</v>
      </c>
      <c r="D891" s="2" t="str">
        <f t="shared" si="12"/>
        <v>Error?</v>
      </c>
    </row>
    <row r="892" spans="1:4" x14ac:dyDescent="0.2">
      <c r="A892" s="5">
        <v>831</v>
      </c>
      <c r="B892" s="138" t="str">
        <f>'Expenditures 15-22'!F14</f>
        <v xml:space="preserve"> </v>
      </c>
      <c r="D892" s="2" t="e">
        <f t="shared" si="12"/>
        <v>#VALUE!</v>
      </c>
    </row>
    <row r="893" spans="1:4" x14ac:dyDescent="0.2">
      <c r="A893" s="5">
        <v>832</v>
      </c>
      <c r="B893" s="138">
        <f>'Expenditures 15-22'!F15</f>
        <v>0</v>
      </c>
      <c r="D893" s="2" t="str">
        <f t="shared" si="12"/>
        <v>Error?</v>
      </c>
    </row>
    <row r="894" spans="1:4" x14ac:dyDescent="0.2">
      <c r="A894" s="5">
        <v>833</v>
      </c>
      <c r="B894" s="138">
        <f>'Expenditures 15-22'!F33</f>
        <v>187690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729</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8651</v>
      </c>
      <c r="D907" s="2" t="str">
        <f t="shared" si="13"/>
        <v>Error?</v>
      </c>
    </row>
    <row r="908" spans="1:4" x14ac:dyDescent="0.2">
      <c r="A908" s="5">
        <v>847</v>
      </c>
      <c r="B908" s="138">
        <f>'Expenditures 15-22'!F53</f>
        <v>8651</v>
      </c>
      <c r="C908" s="2" t="s">
        <v>594</v>
      </c>
      <c r="D908" s="2" t="str">
        <f t="shared" si="13"/>
        <v>Error?</v>
      </c>
    </row>
    <row r="909" spans="1:4" x14ac:dyDescent="0.2">
      <c r="A909" s="5">
        <v>848</v>
      </c>
      <c r="B909" s="138">
        <f>'Expenditures 15-22'!F55</f>
        <v>20565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20565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29945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217635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18628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18628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18628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2478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2478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2561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1282185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96204</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1378389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729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729</v>
      </c>
      <c r="C1119" s="2" t="s">
        <v>594</v>
      </c>
      <c r="D1119" s="2" t="str">
        <f t="shared" si="16"/>
        <v>Error?</v>
      </c>
    </row>
    <row r="1120" spans="1:4" x14ac:dyDescent="0.2">
      <c r="A1120" s="5">
        <v>1059</v>
      </c>
      <c r="B1120" s="138">
        <f>'Expenditures 15-22'!K49</f>
        <v>25953</v>
      </c>
      <c r="C1120" s="2" t="s">
        <v>594</v>
      </c>
      <c r="D1120" s="2" t="str">
        <f t="shared" si="16"/>
        <v>Error?</v>
      </c>
    </row>
    <row r="1121" spans="1:4" x14ac:dyDescent="0.2">
      <c r="A1121" s="5">
        <v>1060</v>
      </c>
      <c r="B1121" s="138">
        <f>'Expenditures 15-22'!K50</f>
        <v>315786</v>
      </c>
      <c r="C1121" s="2" t="s">
        <v>594</v>
      </c>
      <c r="D1121" s="2" t="str">
        <f t="shared" si="16"/>
        <v>Error?</v>
      </c>
    </row>
    <row r="1122" spans="1:4" x14ac:dyDescent="0.2">
      <c r="A1122" s="5">
        <v>1061</v>
      </c>
      <c r="B1122" s="138">
        <f>'Expenditures 15-22'!K53</f>
        <v>341739</v>
      </c>
      <c r="C1122" s="2" t="s">
        <v>594</v>
      </c>
      <c r="D1122" s="2" t="str">
        <f t="shared" si="16"/>
        <v>Error?</v>
      </c>
    </row>
    <row r="1123" spans="1:4" x14ac:dyDescent="0.2">
      <c r="A1123" s="5">
        <v>1062</v>
      </c>
      <c r="B1123" s="138">
        <f>'Expenditures 15-22'!K55</f>
        <v>166972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166972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509440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1887829</v>
      </c>
      <c r="C1152" s="2" t="s">
        <v>594</v>
      </c>
      <c r="D1152" s="2" t="str">
        <f t="shared" si="17"/>
        <v>Error?</v>
      </c>
    </row>
    <row r="1153" spans="1:4" x14ac:dyDescent="0.2">
      <c r="A1153" s="5">
        <v>1092</v>
      </c>
      <c r="B1153" s="138">
        <f>'Expenditures 15-22'!K115</f>
        <v>573130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64177</v>
      </c>
      <c r="D1221" s="2" t="str">
        <f t="shared" si="18"/>
        <v>Error?</v>
      </c>
    </row>
    <row r="1222" spans="1:4" x14ac:dyDescent="0.2">
      <c r="A1222" s="10">
        <v>1161</v>
      </c>
      <c r="D1222" s="2" t="str">
        <f t="shared" si="18"/>
        <v>OK</v>
      </c>
    </row>
    <row r="1223" spans="1:4" x14ac:dyDescent="0.2">
      <c r="A1223" s="5">
        <v>1162</v>
      </c>
      <c r="B1223" s="138">
        <f>'Expenditures 15-22'!C127</f>
        <v>64177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64177</v>
      </c>
      <c r="C1225" s="2" t="s">
        <v>594</v>
      </c>
      <c r="D1225" s="2" t="str">
        <f t="shared" si="18"/>
        <v>Error?</v>
      </c>
    </row>
    <row r="1226" spans="1:4" x14ac:dyDescent="0.2">
      <c r="A1226" s="5">
        <v>1165</v>
      </c>
      <c r="B1226" s="138">
        <f>'Expenditures 15-22'!C151</f>
        <v>64177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13543</v>
      </c>
      <c r="D1229" s="2" t="str">
        <f t="shared" si="18"/>
        <v>Error?</v>
      </c>
    </row>
    <row r="1230" spans="1:4" x14ac:dyDescent="0.2">
      <c r="A1230" s="10">
        <v>1169</v>
      </c>
      <c r="D1230" s="2" t="str">
        <f t="shared" si="18"/>
        <v>OK</v>
      </c>
    </row>
    <row r="1231" spans="1:4" x14ac:dyDescent="0.2">
      <c r="A1231" s="5">
        <v>1170</v>
      </c>
      <c r="B1231" s="138">
        <f>'Expenditures 15-22'!D127</f>
        <v>13543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13543</v>
      </c>
      <c r="C1233" s="2" t="s">
        <v>594</v>
      </c>
      <c r="D1233" s="2" t="str">
        <f t="shared" si="18"/>
        <v>Error?</v>
      </c>
    </row>
    <row r="1234" spans="1:4" x14ac:dyDescent="0.2">
      <c r="A1234" s="5">
        <v>1173</v>
      </c>
      <c r="B1234" s="138">
        <f>'Expenditures 15-22'!D151</f>
        <v>13543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116345</v>
      </c>
      <c r="D1237" s="2" t="str">
        <f t="shared" si="18"/>
        <v>Error?</v>
      </c>
    </row>
    <row r="1238" spans="1:4" x14ac:dyDescent="0.2">
      <c r="A1238" s="10">
        <v>1177</v>
      </c>
      <c r="D1238" s="2" t="str">
        <f t="shared" si="18"/>
        <v>OK</v>
      </c>
    </row>
    <row r="1239" spans="1:4" x14ac:dyDescent="0.2">
      <c r="A1239" s="5">
        <v>1178</v>
      </c>
      <c r="B1239" s="138">
        <f>'Expenditures 15-22'!E127</f>
        <v>116345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116345</v>
      </c>
      <c r="C1241" s="2" t="s">
        <v>594</v>
      </c>
      <c r="D1241" s="2" t="str">
        <f t="shared" si="18"/>
        <v>Error?</v>
      </c>
    </row>
    <row r="1242" spans="1:4" x14ac:dyDescent="0.2">
      <c r="A1242" s="5">
        <v>1181</v>
      </c>
      <c r="B1242" s="138">
        <f>'Expenditures 15-22'!E151</f>
        <v>116345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86201</v>
      </c>
      <c r="D1245" s="2" t="str">
        <f t="shared" si="18"/>
        <v>Error?</v>
      </c>
    </row>
    <row r="1246" spans="1:4" x14ac:dyDescent="0.2">
      <c r="A1246" s="10">
        <v>1185</v>
      </c>
      <c r="D1246" s="2" t="str">
        <f t="shared" si="18"/>
        <v>OK</v>
      </c>
    </row>
    <row r="1247" spans="1:4" x14ac:dyDescent="0.2">
      <c r="A1247" s="5">
        <v>1186</v>
      </c>
      <c r="B1247" s="138">
        <f>'Expenditures 15-22'!F127</f>
        <v>86201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86201</v>
      </c>
      <c r="C1249" s="2" t="s">
        <v>594</v>
      </c>
      <c r="D1249" s="2" t="str">
        <f t="shared" si="18"/>
        <v>Error?</v>
      </c>
    </row>
    <row r="1250" spans="1:4" x14ac:dyDescent="0.2">
      <c r="A1250" s="5">
        <v>1189</v>
      </c>
      <c r="B1250" s="138">
        <f>'Expenditures 15-22'!F151</f>
        <v>86201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47540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47540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47540</v>
      </c>
      <c r="C1258" s="2" t="s">
        <v>594</v>
      </c>
      <c r="D1258" s="2" t="str">
        <f t="shared" si="18"/>
        <v>Error?</v>
      </c>
    </row>
    <row r="1259" spans="1:4" x14ac:dyDescent="0.2">
      <c r="A1259" s="5">
        <v>1198</v>
      </c>
      <c r="B1259" s="138">
        <f>'Expenditures 15-22'!G151</f>
        <v>47540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327806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327806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327806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327806</v>
      </c>
      <c r="C1288" s="2" t="s">
        <v>594</v>
      </c>
      <c r="D1288" s="2" t="str">
        <f t="shared" si="19"/>
        <v>Error?</v>
      </c>
    </row>
    <row r="1289" spans="1:4" x14ac:dyDescent="0.2">
      <c r="A1289" s="5">
        <v>1228</v>
      </c>
      <c r="B1289" s="138">
        <f>'Expenditures 15-22'!K152</f>
        <v>-117806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16009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16009</v>
      </c>
      <c r="C1339" s="2" t="s">
        <v>594</v>
      </c>
      <c r="D1339" s="2" t="str">
        <f t="shared" si="19"/>
        <v>Error?</v>
      </c>
    </row>
    <row r="1340" spans="1:4" x14ac:dyDescent="0.2">
      <c r="A1340" s="5">
        <v>1279</v>
      </c>
      <c r="B1340" s="138">
        <f>'Expenditures 15-22'!C210</f>
        <v>16009</v>
      </c>
      <c r="C1340" s="2" t="s">
        <v>594</v>
      </c>
      <c r="D1340" s="2" t="str">
        <f t="shared" si="19"/>
        <v>Error?</v>
      </c>
    </row>
    <row r="1341" spans="1:4" x14ac:dyDescent="0.2">
      <c r="A1341" s="5">
        <v>1280</v>
      </c>
      <c r="B1341" s="138">
        <f>'Expenditures 15-22'!D182</f>
        <v>2246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2246</v>
      </c>
      <c r="C1345" s="2" t="s">
        <v>594</v>
      </c>
      <c r="D1345" s="2" t="str">
        <f t="shared" si="20"/>
        <v>Error?</v>
      </c>
    </row>
    <row r="1346" spans="1:4" x14ac:dyDescent="0.2">
      <c r="A1346" s="5">
        <v>1285</v>
      </c>
      <c r="B1346" s="138">
        <f>'Expenditures 15-22'!D210</f>
        <v>2246</v>
      </c>
      <c r="C1346" s="2" t="s">
        <v>594</v>
      </c>
      <c r="D1346" s="2" t="str">
        <f t="shared" si="20"/>
        <v>Error?</v>
      </c>
    </row>
    <row r="1347" spans="1:4" x14ac:dyDescent="0.2">
      <c r="A1347" s="5">
        <v>1286</v>
      </c>
      <c r="B1347" s="138">
        <f>'Expenditures 15-22'!E182</f>
        <v>19658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19658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19658</v>
      </c>
      <c r="C1353" s="2" t="s">
        <v>594</v>
      </c>
      <c r="D1353" s="2" t="str">
        <f t="shared" si="20"/>
        <v>Error?</v>
      </c>
    </row>
    <row r="1354" spans="1:4" x14ac:dyDescent="0.2">
      <c r="A1354" s="5">
        <v>1293</v>
      </c>
      <c r="B1354" s="138">
        <f>'Expenditures 15-22'!F182</f>
        <v>2259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2259</v>
      </c>
      <c r="C1358" s="2" t="s">
        <v>594</v>
      </c>
      <c r="D1358" s="2" t="str">
        <f t="shared" si="20"/>
        <v>Error?</v>
      </c>
    </row>
    <row r="1359" spans="1:4" x14ac:dyDescent="0.2">
      <c r="A1359" s="5">
        <v>1298</v>
      </c>
      <c r="B1359" s="138">
        <f>'Expenditures 15-22'!F210</f>
        <v>2259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40172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40172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40172</v>
      </c>
      <c r="C1388" s="2" t="s">
        <v>594</v>
      </c>
      <c r="D1388" s="2" t="str">
        <f t="shared" si="20"/>
        <v>Error?</v>
      </c>
    </row>
    <row r="1389" spans="1:4" x14ac:dyDescent="0.2">
      <c r="A1389" s="5">
        <v>1328</v>
      </c>
      <c r="B1389" s="138">
        <f>'Expenditures 15-22'!K211</f>
        <v>18920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741555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1314685</v>
      </c>
      <c r="C1630" s="2" t="s">
        <v>594</v>
      </c>
      <c r="D1630" s="2" t="str">
        <f t="shared" si="24"/>
        <v>Error?</v>
      </c>
    </row>
    <row r="1631" spans="1:4" x14ac:dyDescent="0.2">
      <c r="A1631" s="5">
        <v>1570</v>
      </c>
      <c r="B1631" s="138">
        <f>'Acct Summary 7-8'!D79</f>
        <v>173803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55997</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45513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64433</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284504</v>
      </c>
      <c r="D2008" s="2" t="str">
        <f t="shared" si="30"/>
        <v>Error?</v>
      </c>
    </row>
    <row r="2009" spans="1:4" x14ac:dyDescent="0.2">
      <c r="A2009" s="5">
        <v>1948</v>
      </c>
      <c r="B2009" s="138">
        <f>'Cap Outlay Deprec 26'!C8</f>
        <v>3138264</v>
      </c>
      <c r="D2009" s="2" t="str">
        <f t="shared" si="30"/>
        <v>Error?</v>
      </c>
    </row>
    <row r="2010" spans="1:4" x14ac:dyDescent="0.2">
      <c r="A2010" s="5">
        <v>1949</v>
      </c>
      <c r="B2010" s="138">
        <f>'Cap Outlay Deprec 26'!C10</f>
        <v>465792</v>
      </c>
      <c r="D2010" s="2" t="str">
        <f t="shared" si="30"/>
        <v>Error?</v>
      </c>
    </row>
    <row r="2011" spans="1:4" x14ac:dyDescent="0.2">
      <c r="A2011" s="5">
        <v>1950</v>
      </c>
      <c r="B2011" s="138">
        <f>'Cap Outlay Deprec 26'!C12</f>
        <v>1854759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5743319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47540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18628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66168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284504</v>
      </c>
      <c r="C2026" s="2" t="s">
        <v>594</v>
      </c>
      <c r="D2026" s="2" t="str">
        <f t="shared" si="30"/>
        <v>Error?</v>
      </c>
    </row>
    <row r="2027" spans="1:4" x14ac:dyDescent="0.2">
      <c r="A2027" s="5">
        <v>1966</v>
      </c>
      <c r="B2027" s="138">
        <f>'Cap Outlay Deprec 26'!F8</f>
        <v>3185804</v>
      </c>
      <c r="C2027" s="2" t="s">
        <v>594</v>
      </c>
      <c r="D2027" s="2" t="str">
        <f t="shared" si="30"/>
        <v>Error?</v>
      </c>
    </row>
    <row r="2028" spans="1:4" x14ac:dyDescent="0.2">
      <c r="A2028" s="5">
        <v>1967</v>
      </c>
      <c r="B2028" s="138">
        <f>'Cap Outlay Deprec 26'!F10</f>
        <v>465792</v>
      </c>
      <c r="C2028" s="2" t="s">
        <v>594</v>
      </c>
      <c r="D2028" s="2" t="str">
        <f t="shared" si="30"/>
        <v>Error?</v>
      </c>
    </row>
    <row r="2029" spans="1:4" x14ac:dyDescent="0.2">
      <c r="A2029" s="5">
        <v>1968</v>
      </c>
      <c r="B2029" s="138">
        <f>'Cap Outlay Deprec 26'!F12</f>
        <v>1873387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5809487</v>
      </c>
      <c r="C2031" s="2" t="s">
        <v>594</v>
      </c>
      <c r="D2031" s="2" t="str">
        <f t="shared" si="30"/>
        <v>Error?</v>
      </c>
    </row>
    <row r="2032" spans="1:4" x14ac:dyDescent="0.2">
      <c r="A2032" s="10">
        <v>1971</v>
      </c>
      <c r="D2032" s="2" t="str">
        <f t="shared" si="30"/>
        <v>OK</v>
      </c>
    </row>
    <row r="2033" spans="1:4" x14ac:dyDescent="0.2">
      <c r="A2033" s="5">
        <v>1972</v>
      </c>
      <c r="B2033" s="138">
        <f>'Cap Outlay Deprec 26'!H8</f>
        <v>1635300</v>
      </c>
      <c r="D2033" s="2" t="str">
        <f t="shared" si="30"/>
        <v>Error?</v>
      </c>
    </row>
    <row r="2034" spans="1:4" x14ac:dyDescent="0.2">
      <c r="A2034" s="5">
        <v>1973</v>
      </c>
      <c r="B2034" s="138">
        <f>'Cap Outlay Deprec 26'!H10</f>
        <v>184336</v>
      </c>
      <c r="D2034" s="2" t="str">
        <f t="shared" si="30"/>
        <v>Error?</v>
      </c>
    </row>
    <row r="2035" spans="1:4" x14ac:dyDescent="0.2">
      <c r="A2035" s="5">
        <v>1974</v>
      </c>
      <c r="B2035" s="138">
        <f>'Cap Outlay Deprec 26'!H12</f>
        <v>1794131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3613767</v>
      </c>
      <c r="C2037" s="2" t="s">
        <v>594</v>
      </c>
      <c r="D2037" s="2" t="str">
        <f t="shared" si="30"/>
        <v>Error?</v>
      </c>
    </row>
    <row r="2038" spans="1:4" x14ac:dyDescent="0.2">
      <c r="A2038" s="10">
        <v>1977</v>
      </c>
      <c r="D2038" s="2" t="str">
        <f t="shared" si="30"/>
        <v>OK</v>
      </c>
    </row>
    <row r="2039" spans="1:4" x14ac:dyDescent="0.2">
      <c r="A2039" s="5">
        <v>1978</v>
      </c>
      <c r="B2039" s="138">
        <f>'Cap Outlay Deprec 26'!I8</f>
        <v>63240</v>
      </c>
      <c r="D2039" s="2" t="str">
        <f t="shared" si="30"/>
        <v>Error?</v>
      </c>
    </row>
    <row r="2040" spans="1:4" x14ac:dyDescent="0.2">
      <c r="A2040" s="5">
        <v>1979</v>
      </c>
      <c r="B2040" s="138">
        <f>'Cap Outlay Deprec 26'!I10</f>
        <v>22563</v>
      </c>
      <c r="D2040" s="2" t="str">
        <f t="shared" si="30"/>
        <v>Error?</v>
      </c>
    </row>
    <row r="2041" spans="1:4" x14ac:dyDescent="0.2">
      <c r="A2041" s="5">
        <v>1980</v>
      </c>
      <c r="B2041" s="138">
        <f>'Cap Outlay Deprec 26'!I12</f>
        <v>10010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95813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1698540</v>
      </c>
      <c r="C2051" s="2" t="s">
        <v>594</v>
      </c>
      <c r="D2051" s="2" t="str">
        <f t="shared" si="31"/>
        <v>Error?</v>
      </c>
    </row>
    <row r="2052" spans="1:4" x14ac:dyDescent="0.2">
      <c r="A2052" s="5">
        <v>1991</v>
      </c>
      <c r="B2052" s="138">
        <f>'Cap Outlay Deprec 26'!K10</f>
        <v>206899</v>
      </c>
      <c r="C2052" s="2" t="s">
        <v>594</v>
      </c>
      <c r="D2052" s="2" t="str">
        <f t="shared" si="31"/>
        <v>Error?</v>
      </c>
    </row>
    <row r="2053" spans="1:4" x14ac:dyDescent="0.2">
      <c r="A2053" s="5">
        <v>1992</v>
      </c>
      <c r="B2053" s="138">
        <f>'Cap Outlay Deprec 26'!K12</f>
        <v>1804141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3709580</v>
      </c>
      <c r="C2055" s="2" t="s">
        <v>594</v>
      </c>
      <c r="D2055" s="2" t="str">
        <f t="shared" si="31"/>
        <v>Error?</v>
      </c>
    </row>
    <row r="2056" spans="1:4" x14ac:dyDescent="0.2">
      <c r="A2056" s="5">
        <v>1995</v>
      </c>
      <c r="B2056" s="138">
        <f>'Cap Outlay Deprec 26'!L5</f>
        <v>284504</v>
      </c>
      <c r="C2056" s="2" t="s">
        <v>594</v>
      </c>
      <c r="D2056" s="2" t="str">
        <f t="shared" si="31"/>
        <v>Error?</v>
      </c>
    </row>
    <row r="2057" spans="1:4" x14ac:dyDescent="0.2">
      <c r="A2057" s="5">
        <v>1996</v>
      </c>
      <c r="B2057" s="138">
        <f>'Cap Outlay Deprec 26'!L8</f>
        <v>1487264</v>
      </c>
      <c r="C2057" s="2" t="s">
        <v>594</v>
      </c>
      <c r="D2057" s="2" t="str">
        <f t="shared" si="31"/>
        <v>Error?</v>
      </c>
    </row>
    <row r="2058" spans="1:4" x14ac:dyDescent="0.2">
      <c r="A2058" s="5">
        <v>1997</v>
      </c>
      <c r="B2058" s="138">
        <f>'Cap Outlay Deprec 26'!L10</f>
        <v>258893</v>
      </c>
      <c r="C2058" s="2" t="s">
        <v>594</v>
      </c>
      <c r="D2058" s="2" t="str">
        <f t="shared" si="31"/>
        <v>Error?</v>
      </c>
    </row>
    <row r="2059" spans="1:4" x14ac:dyDescent="0.2">
      <c r="A2059" s="5">
        <v>1998</v>
      </c>
      <c r="B2059" s="138">
        <f>'Cap Outlay Deprec 26'!L12</f>
        <v>69246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2099907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t="str">
        <f>'Assets-Liab 5-6'!C38</f>
        <v xml:space="preserve"> </v>
      </c>
      <c r="D2435" s="2" t="e">
        <f t="shared" si="37"/>
        <v>#VALUE!</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1302310</v>
      </c>
      <c r="C2551" s="2" t="s">
        <v>594</v>
      </c>
      <c r="D2551" s="2" t="str">
        <f t="shared" si="38"/>
        <v>Error?</v>
      </c>
    </row>
    <row r="2552" spans="1:4" x14ac:dyDescent="0.2">
      <c r="A2552" s="10">
        <v>2491</v>
      </c>
      <c r="D2552" s="2" t="str">
        <f t="shared" si="38"/>
        <v>OK</v>
      </c>
    </row>
    <row r="2553" spans="1:4" x14ac:dyDescent="0.2">
      <c r="A2553" s="5">
        <v>2492</v>
      </c>
      <c r="B2553" s="138">
        <f>'Acct Summary 7-8'!C6</f>
        <v>1158649</v>
      </c>
      <c r="C2553" s="2" t="s">
        <v>594</v>
      </c>
      <c r="D2553" s="2" t="str">
        <f t="shared" si="38"/>
        <v>Error?</v>
      </c>
    </row>
    <row r="2554" spans="1:4" x14ac:dyDescent="0.2">
      <c r="A2554" s="5">
        <v>2493</v>
      </c>
      <c r="B2554" s="138">
        <f>'Acct Summary 7-8'!C7</f>
        <v>0</v>
      </c>
      <c r="C2554" s="2" t="s">
        <v>594</v>
      </c>
      <c r="D2554" s="2" t="str">
        <f t="shared" si="38"/>
        <v>Error?</v>
      </c>
    </row>
    <row r="2555" spans="1:4" x14ac:dyDescent="0.2">
      <c r="A2555" s="5">
        <v>2494</v>
      </c>
      <c r="B2555" s="138">
        <f>'Acct Summary 7-8'!C8</f>
        <v>2460959</v>
      </c>
      <c r="C2555" s="2" t="s">
        <v>594</v>
      </c>
      <c r="D2555" s="2" t="str">
        <f t="shared" si="38"/>
        <v>Error?</v>
      </c>
    </row>
    <row r="2556" spans="1:4" x14ac:dyDescent="0.2">
      <c r="A2556" s="5">
        <v>2495</v>
      </c>
      <c r="B2556" s="138">
        <f>'Acct Summary 7-8'!C12</f>
        <v>1378389</v>
      </c>
      <c r="C2556" s="2" t="s">
        <v>594</v>
      </c>
      <c r="D2556" s="2" t="str">
        <f t="shared" si="38"/>
        <v>Error?</v>
      </c>
    </row>
    <row r="2557" spans="1:4" x14ac:dyDescent="0.2">
      <c r="A2557" s="5">
        <v>2496</v>
      </c>
      <c r="B2557" s="138">
        <f>'Acct Summary 7-8'!C13</f>
        <v>509440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1887829</v>
      </c>
      <c r="C2561" s="2" t="s">
        <v>594</v>
      </c>
      <c r="D2561" s="2" t="str">
        <f t="shared" si="39"/>
        <v>Error?</v>
      </c>
    </row>
    <row r="2562" spans="1:4" x14ac:dyDescent="0.2">
      <c r="A2562" s="5">
        <v>2501</v>
      </c>
      <c r="B2562" s="138">
        <f>'Acct Summary 7-8'!C20</f>
        <v>573130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210000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210000</v>
      </c>
      <c r="C2568" s="2" t="s">
        <v>594</v>
      </c>
      <c r="D2568" s="2" t="str">
        <f t="shared" si="39"/>
        <v>Error?</v>
      </c>
    </row>
    <row r="2569" spans="1:4" x14ac:dyDescent="0.2">
      <c r="A2569" s="5">
        <v>2508</v>
      </c>
      <c r="B2569" s="138">
        <f>'Acct Summary 7-8'!D13</f>
        <v>327806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327806</v>
      </c>
      <c r="C2573" s="2" t="s">
        <v>594</v>
      </c>
      <c r="D2573" s="2" t="str">
        <f t="shared" si="39"/>
        <v>Error?</v>
      </c>
    </row>
    <row r="2574" spans="1:4" x14ac:dyDescent="0.2">
      <c r="A2574" s="5">
        <v>2513</v>
      </c>
      <c r="B2574" s="138">
        <f>'Acct Summary 7-8'!D20</f>
        <v>-117806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30000</v>
      </c>
      <c r="C2591" s="2" t="s">
        <v>594</v>
      </c>
      <c r="D2591" s="2" t="str">
        <f t="shared" si="39"/>
        <v>Error?</v>
      </c>
    </row>
    <row r="2592" spans="1:4" x14ac:dyDescent="0.2">
      <c r="A2592" s="10">
        <v>2531</v>
      </c>
      <c r="D2592" s="2" t="str">
        <f t="shared" si="39"/>
        <v>OK</v>
      </c>
    </row>
    <row r="2593" spans="1:4" x14ac:dyDescent="0.2">
      <c r="A2593" s="5">
        <v>2532</v>
      </c>
      <c r="B2593" s="138">
        <f>'Acct Summary 7-8'!F6</f>
        <v>29092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59092</v>
      </c>
      <c r="C2595" s="2" t="s">
        <v>594</v>
      </c>
      <c r="D2595" s="2" t="str">
        <f t="shared" si="39"/>
        <v>Error?</v>
      </c>
    </row>
    <row r="2596" spans="1:4" x14ac:dyDescent="0.2">
      <c r="A2596" s="5">
        <v>2535</v>
      </c>
      <c r="B2596" s="138">
        <f>'Acct Summary 7-8'!F13</f>
        <v>40172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40172</v>
      </c>
      <c r="C2600" s="2" t="s">
        <v>594</v>
      </c>
      <c r="D2600" s="2" t="str">
        <f t="shared" si="39"/>
        <v>Error?</v>
      </c>
    </row>
    <row r="2601" spans="1:4" x14ac:dyDescent="0.2">
      <c r="A2601" s="5">
        <v>2540</v>
      </c>
      <c r="B2601" s="138">
        <f>'Acct Summary 7-8'!F20</f>
        <v>18920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44021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44021</v>
      </c>
      <c r="D2914" s="2" t="str">
        <f t="shared" si="44"/>
        <v>Error?</v>
      </c>
    </row>
    <row r="2915" spans="1:4" x14ac:dyDescent="0.2">
      <c r="A2915" s="10">
        <v>2854</v>
      </c>
      <c r="D2915" s="2" t="str">
        <f t="shared" si="44"/>
        <v>OK</v>
      </c>
    </row>
    <row r="2916" spans="1:4" x14ac:dyDescent="0.2">
      <c r="A2916" s="5">
        <v>2855</v>
      </c>
      <c r="B2916" s="138">
        <f>'Assets-Liab 5-6'!L34</f>
        <v>44021</v>
      </c>
      <c r="C2916" s="2" t="s">
        <v>594</v>
      </c>
      <c r="D2916" s="2" t="str">
        <f t="shared" si="44"/>
        <v>Error?</v>
      </c>
    </row>
    <row r="2917" spans="1:4" x14ac:dyDescent="0.2">
      <c r="A2917" s="5">
        <v>2856</v>
      </c>
      <c r="B2917" s="138">
        <f>'Assets-Liab 5-6'!L41</f>
        <v>44021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573130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-117806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18920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1314685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55997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64433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44021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934481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3395440</v>
      </c>
      <c r="C4122" s="2" t="s">
        <v>594</v>
      </c>
      <c r="D4122" s="2" t="str">
        <f t="shared" si="63"/>
        <v>Error?</v>
      </c>
    </row>
    <row r="4123" spans="1:4" x14ac:dyDescent="0.2">
      <c r="A4123" s="5">
        <v>4062</v>
      </c>
      <c r="B4123" s="138">
        <f>'Acct Summary 7-8'!D10</f>
        <v>210000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59092</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934481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2822310</v>
      </c>
      <c r="C4136" s="2" t="s">
        <v>594</v>
      </c>
      <c r="D4136" s="2" t="str">
        <f t="shared" si="63"/>
        <v>Error?</v>
      </c>
    </row>
    <row r="4137" spans="1:4" x14ac:dyDescent="0.2">
      <c r="A4137" s="5">
        <v>4076</v>
      </c>
      <c r="B4137" s="138">
        <f>'Acct Summary 7-8'!D19</f>
        <v>327806</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40172</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1435115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t="str">
        <f>'Revenues 9-14'!C227</f>
        <v xml:space="preserve"> </v>
      </c>
      <c r="D4344" s="2" t="e">
        <f t="shared" si="66"/>
        <v>#VALUE!</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180552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30000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t="str">
        <f>'Revenues 9-14'!C20</f>
        <v xml:space="preserve"> </v>
      </c>
      <c r="D5072" s="2" t="e">
        <f t="shared" si="78"/>
        <v>#VALUE!</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29866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932347</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65424</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1027637</v>
      </c>
      <c r="C5087" s="2" t="s">
        <v>594</v>
      </c>
      <c r="D5087" s="2" t="str">
        <f t="shared" si="78"/>
        <v>Error?</v>
      </c>
    </row>
    <row r="5088" spans="1:4" x14ac:dyDescent="0.2">
      <c r="A5088" s="5">
        <v>5027</v>
      </c>
      <c r="B5088" s="138">
        <f>'Revenues 9-14'!C65</f>
        <v>2077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2077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76288</v>
      </c>
      <c r="D5101" s="2" t="str">
        <f t="shared" si="78"/>
        <v>Error?</v>
      </c>
    </row>
    <row r="5102" spans="1:4" x14ac:dyDescent="0.2">
      <c r="A5102" s="5">
        <v>5041</v>
      </c>
      <c r="B5102" s="138">
        <f>'Revenues 9-14'!C82</f>
        <v>76288</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1923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1923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13833</v>
      </c>
      <c r="D5119" s="2" t="str">
        <f t="shared" ref="D5119:D5182" si="79">IF(ISBLANK(B5119),"OK",IF(A5119-B5119=0,"OK","Error?"))</f>
        <v>Error?</v>
      </c>
    </row>
    <row r="5120" spans="1:4" x14ac:dyDescent="0.2">
      <c r="A5120" s="5">
        <v>5059</v>
      </c>
      <c r="B5120" s="138">
        <f>'Revenues 9-14'!C108</f>
        <v>194385</v>
      </c>
      <c r="C5120" s="2" t="s">
        <v>594</v>
      </c>
      <c r="D5120" s="2" t="str">
        <f t="shared" si="79"/>
        <v>Error?</v>
      </c>
    </row>
    <row r="5121" spans="1:4" x14ac:dyDescent="0.2">
      <c r="A5121" s="5">
        <v>5060</v>
      </c>
      <c r="B5121" s="138">
        <f>'Revenues 9-14'!C109</f>
        <v>1302310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1158649</v>
      </c>
      <c r="D5152" s="2" t="str">
        <f t="shared" si="79"/>
        <v>Error?</v>
      </c>
    </row>
    <row r="5153" spans="1:4" x14ac:dyDescent="0.2">
      <c r="A5153" s="5">
        <v>5092</v>
      </c>
      <c r="B5153" s="138" t="str">
        <f>'Revenues 9-14'!C135</f>
        <v xml:space="preserve"> </v>
      </c>
      <c r="D5153" s="2" t="e">
        <f t="shared" si="79"/>
        <v>#VALUE!</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1158649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1158649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1158649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594</v>
      </c>
      <c r="D5326" s="2" t="str">
        <f t="shared" si="82"/>
        <v>Error?</v>
      </c>
    </row>
    <row r="5327" spans="1:4" x14ac:dyDescent="0.2">
      <c r="A5327" s="5">
        <v>5266</v>
      </c>
      <c r="B5327" s="138">
        <f>'Revenues 9-14'!C275</f>
        <v>2460959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210000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210000</v>
      </c>
      <c r="C5355" s="2" t="s">
        <v>594</v>
      </c>
      <c r="D5355" s="2" t="str">
        <f t="shared" si="82"/>
        <v>Error?</v>
      </c>
    </row>
    <row r="5356" spans="1:4" x14ac:dyDescent="0.2">
      <c r="A5356" s="5">
        <v>5295</v>
      </c>
      <c r="B5356" s="138">
        <f>'Revenues 9-14'!D109</f>
        <v>210000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210000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30000</v>
      </c>
      <c r="C5587" s="2" t="s">
        <v>594</v>
      </c>
      <c r="D5587" s="2" t="str">
        <f t="shared" si="86"/>
        <v>Error?</v>
      </c>
    </row>
    <row r="5588" spans="1:4" x14ac:dyDescent="0.2">
      <c r="A5588" s="5">
        <v>5527</v>
      </c>
      <c r="B5588" s="138">
        <f>'Revenues 9-14'!F109</f>
        <v>30000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29092</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29092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29092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29092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59092</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573130</v>
      </c>
      <c r="D6267" s="2" t="str">
        <f t="shared" si="96"/>
        <v>Error?</v>
      </c>
      <c r="E6267" s="2" t="s">
        <v>199</v>
      </c>
    </row>
    <row r="6268" spans="1:5" x14ac:dyDescent="0.2">
      <c r="A6268">
        <v>6207</v>
      </c>
      <c r="B6268" s="138">
        <f>'Acct Summary 7-8'!D82</f>
        <v>-117806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18920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0.43594473200804756</v>
      </c>
      <c r="D6276" s="2" t="str">
        <f t="shared" si="97"/>
        <v>Error?</v>
      </c>
      <c r="E6276" s="2" t="s">
        <v>199</v>
      </c>
    </row>
    <row r="6277" spans="1:5" x14ac:dyDescent="0.2">
      <c r="A6277">
        <v>6216</v>
      </c>
      <c r="B6277" s="138">
        <f>'Acct Summary 7-8'!D83</f>
        <v>-2.1037912745325644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0.29363835301786351</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95813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Kankakee Area Career Center</v>
      </c>
      <c r="B7" s="2420"/>
      <c r="C7" s="2420"/>
      <c r="D7" s="2421"/>
      <c r="E7" s="2422">
        <f>COVER!A13</f>
        <v>32000000040</v>
      </c>
      <c r="F7" s="2423"/>
      <c r="G7" s="2429" t="str">
        <f>COVER!T23</f>
        <v>065-18319</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Russell Leigh &amp; Associates</v>
      </c>
      <c r="H9" s="2435"/>
      <c r="I9" s="2435"/>
      <c r="J9" s="2435"/>
      <c r="K9" s="2435"/>
      <c r="L9" s="2436"/>
    </row>
    <row r="10" spans="1:29" ht="13.5" customHeight="1" x14ac:dyDescent="0.2">
      <c r="A10" s="2409" t="str">
        <f>COVER!A38</f>
        <v>Matthew Kelley</v>
      </c>
      <c r="B10" s="2410"/>
      <c r="C10" s="2410"/>
      <c r="D10" s="2410"/>
      <c r="E10" s="2410"/>
      <c r="F10" s="2411"/>
      <c r="G10" s="2403" t="str">
        <f>COVER!T17</f>
        <v>228 East Main</v>
      </c>
      <c r="H10" s="2404"/>
      <c r="I10" s="2404"/>
      <c r="J10" s="2404"/>
      <c r="K10" s="2404"/>
      <c r="L10" s="2405"/>
    </row>
    <row r="11" spans="1:29" ht="13.5" customHeight="1" x14ac:dyDescent="0.2">
      <c r="A11" s="1185" t="s">
        <v>1599</v>
      </c>
      <c r="B11" s="1186"/>
      <c r="C11" s="1187"/>
      <c r="D11" s="1192"/>
      <c r="E11" s="1187"/>
      <c r="F11" s="1191"/>
      <c r="G11" s="2403" t="str">
        <f>COVER!T19</f>
        <v>Hoopeston</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addredmin@russleigh.comss:</v>
      </c>
      <c r="J13" s="2416"/>
      <c r="K13" s="2416"/>
      <c r="L13" s="2417"/>
    </row>
    <row r="14" spans="1:29" ht="13.5" customHeight="1" x14ac:dyDescent="0.2">
      <c r="A14" s="2403" t="str">
        <f>COVER!A19</f>
        <v>4083 N 1000W Rd</v>
      </c>
      <c r="B14" s="2404"/>
      <c r="C14" s="2404"/>
      <c r="D14" s="2404"/>
      <c r="E14" s="2404"/>
      <c r="F14" s="2405"/>
      <c r="G14" s="1196" t="s">
        <v>1247</v>
      </c>
      <c r="H14" s="1194"/>
      <c r="I14" s="1194"/>
      <c r="J14" s="1194"/>
      <c r="K14" s="1194"/>
      <c r="L14" s="1195"/>
    </row>
    <row r="15" spans="1:29" ht="13.5" customHeight="1" x14ac:dyDescent="0.2">
      <c r="A15" s="2403" t="str">
        <f>COVER!A21</f>
        <v>Bourbonnais</v>
      </c>
      <c r="B15" s="2404"/>
      <c r="C15" s="2404"/>
      <c r="D15" s="2404"/>
      <c r="E15" s="2404"/>
      <c r="F15" s="2405"/>
      <c r="G15" s="2400" t="str">
        <f>COVER!T15</f>
        <v>Russ Leigh</v>
      </c>
      <c r="H15" s="2401"/>
      <c r="I15" s="2401"/>
      <c r="J15" s="2401"/>
      <c r="K15" s="2401"/>
      <c r="L15" s="2402"/>
    </row>
    <row r="16" spans="1:29" ht="12.2" customHeight="1" x14ac:dyDescent="0.2">
      <c r="A16" s="2425">
        <f>COVER!A25</f>
        <v>60914</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217-283-9336</v>
      </c>
      <c r="H18" s="2420"/>
      <c r="I18" s="2420"/>
      <c r="J18" s="2420"/>
      <c r="K18" s="2419" t="str">
        <f>COVER!X21</f>
        <v>217-283-9736</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Kankakee Area Career Center</v>
      </c>
      <c r="B1" s="2418"/>
      <c r="C1" s="2418"/>
      <c r="D1" s="2418"/>
    </row>
    <row r="2" spans="1:11" s="1215" customFormat="1" ht="12.75" x14ac:dyDescent="0.2">
      <c r="A2" s="2442">
        <f>'Single Audit Cover'!E7</f>
        <v>32000000040</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Kankakee Area Career Center</v>
      </c>
      <c r="B1" s="2445"/>
      <c r="C1" s="2445"/>
      <c r="D1" s="2445"/>
      <c r="E1" s="2445"/>
    </row>
    <row r="2" spans="1:5" x14ac:dyDescent="0.2">
      <c r="A2" s="2446">
        <f>'Single Audit Cover'!E7</f>
        <v>32000000040</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Kankakee Area Career Center</v>
      </c>
      <c r="B1" s="2458"/>
      <c r="C1" s="2458"/>
      <c r="D1" s="2458"/>
      <c r="E1" s="2458"/>
      <c r="F1" s="2458"/>
    </row>
    <row r="2" spans="1:7" ht="13.5" customHeight="1" x14ac:dyDescent="0.2">
      <c r="A2" s="2459">
        <f>'Single Audit Cover'!E7</f>
        <v>32000000040</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Kankakee Area Career Center</v>
      </c>
      <c r="C1" s="2462"/>
      <c r="D1" s="2462"/>
      <c r="E1" s="2462"/>
      <c r="F1" s="2462"/>
      <c r="G1" s="2462"/>
      <c r="H1" s="2462"/>
      <c r="I1" s="2462"/>
      <c r="J1" s="2462"/>
      <c r="K1" s="2462"/>
      <c r="L1" s="2462"/>
      <c r="M1" s="2462"/>
    </row>
    <row r="2" spans="2:14" ht="15" x14ac:dyDescent="0.2">
      <c r="B2" s="2459">
        <f>'Single Audit Cover'!E7</f>
        <v>32000000040</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Kankakee Area Career Center</v>
      </c>
      <c r="C1" s="2477"/>
      <c r="D1" s="2477"/>
      <c r="E1" s="2477"/>
      <c r="F1" s="2477"/>
      <c r="G1" s="2477"/>
      <c r="H1" s="2477"/>
      <c r="I1" s="2477"/>
      <c r="J1" s="1422"/>
    </row>
    <row r="2" spans="2:10" s="317" customFormat="1" ht="12.75" customHeight="1" x14ac:dyDescent="0.2">
      <c r="B2" s="2478">
        <f>'Single Audit Cover'!E7</f>
        <v>32000000040</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1952</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Kankakee Area Career Center</v>
      </c>
      <c r="C1" s="2476"/>
      <c r="D1" s="2476"/>
      <c r="E1" s="2476"/>
      <c r="F1" s="2476"/>
      <c r="G1" s="2476"/>
      <c r="H1" s="2476"/>
      <c r="I1" s="2476"/>
      <c r="J1" s="2476"/>
      <c r="K1" s="2476"/>
      <c r="L1" s="1374"/>
      <c r="M1" s="1374"/>
    </row>
    <row r="2" spans="1:13" ht="12" customHeight="1" x14ac:dyDescent="0.2">
      <c r="B2" s="2478">
        <f>'Single Audit Cover'!E7</f>
        <v>32000000040</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Kankakee Area Career Center</v>
      </c>
      <c r="C1" s="2499"/>
      <c r="D1" s="2499"/>
      <c r="E1" s="2499"/>
      <c r="F1" s="2499"/>
      <c r="G1" s="2499"/>
      <c r="H1" s="2499"/>
      <c r="I1" s="2499"/>
      <c r="J1" s="2499"/>
      <c r="K1" s="2499"/>
      <c r="L1" s="1465"/>
    </row>
    <row r="2" spans="1:12" ht="12.75" customHeight="1" x14ac:dyDescent="0.2">
      <c r="B2" s="2500">
        <f>'Single Audit Cover'!E7</f>
        <v>32000000040</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Kankakee Area Career Center</v>
      </c>
      <c r="C1" s="2476"/>
      <c r="D1" s="2476"/>
      <c r="E1" s="1491"/>
    </row>
    <row r="2" spans="2:5" s="1282" customFormat="1" ht="12.75" customHeight="1" x14ac:dyDescent="0.2">
      <c r="B2" s="2478">
        <f>'Single Audit Cover'!E7</f>
        <v>32000000040</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4F8B6-F742-48D8-9F13-1076A7DC5E6F}">
  <ds:schemaRefs>
    <ds:schemaRef ds:uri="4d435f69-8686-490b-bd6d-b153bf22ab50"/>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6ce3111e-7420-4802-b50a-75d4e9a0b980"/>
    <ds:schemaRef ds:uri="d21dc803-237d-4c68-8692-8d731fd2911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Sheet1</vt:lpstr>
      <vt:lpstr>Sheet2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2018-09-24T19:10:49Z</cp:lastPrinted>
  <dcterms:created xsi:type="dcterms:W3CDTF">2003-10-29T19:06:34Z</dcterms:created>
  <dcterms:modified xsi:type="dcterms:W3CDTF">2019-05-07T18:33:01Z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