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13"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s="1"/>
  <c r="B6302" i="106"/>
  <c r="D6302" i="106" s="1"/>
  <c r="B6303" i="106"/>
  <c r="D6303" i="106" s="1"/>
  <c r="B6304" i="106"/>
  <c r="D6304" i="106" s="1"/>
  <c r="B6305" i="106"/>
  <c r="D6305" i="106" s="1"/>
  <c r="B6307" i="106"/>
  <c r="D6307" i="106" s="1"/>
  <c r="B6308" i="106"/>
  <c r="D6308" i="106"/>
  <c r="B6309" i="106"/>
  <c r="D6309" i="106" s="1"/>
  <c r="B6310" i="106"/>
  <c r="D6310" i="106" s="1"/>
  <c r="B6311" i="106"/>
  <c r="D6311" i="106" s="1"/>
  <c r="B6312" i="106"/>
  <c r="D6312" i="106"/>
  <c r="B6313" i="106"/>
  <c r="D6313" i="106" s="1"/>
  <c r="B6314" i="106"/>
  <c r="D6314" i="106" s="1"/>
  <c r="B6315" i="106"/>
  <c r="D6315" i="106" s="1"/>
  <c r="B6316" i="106"/>
  <c r="D6316" i="106"/>
  <c r="B6317" i="106"/>
  <c r="D6317" i="106" s="1"/>
  <c r="B6319" i="106"/>
  <c r="D6319" i="106" s="1"/>
  <c r="B6320" i="106"/>
  <c r="D6320" i="106" s="1"/>
  <c r="B6321" i="106"/>
  <c r="D6321" i="106" s="1"/>
  <c r="B6322" i="106"/>
  <c r="D6322" i="106" s="1"/>
  <c r="B6323" i="106"/>
  <c r="D6323" i="106" s="1"/>
  <c r="B6324" i="106"/>
  <c r="D6324" i="106" s="1"/>
  <c r="B6325" i="106"/>
  <c r="D6325" i="106"/>
  <c r="B6326" i="106"/>
  <c r="D6326" i="106" s="1"/>
  <c r="B6327" i="106"/>
  <c r="D6327" i="106" s="1"/>
  <c r="B6328" i="106"/>
  <c r="D6328" i="106" s="1"/>
  <c r="B6329" i="106"/>
  <c r="D6329" i="106"/>
  <c r="B6330" i="106"/>
  <c r="D6330" i="106" s="1"/>
  <c r="B6331" i="106"/>
  <c r="D6331" i="106" s="1"/>
  <c r="B6332" i="106"/>
  <c r="D6332" i="106" s="1"/>
  <c r="B6333" i="106"/>
  <c r="D6333" i="106"/>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c r="B6346" i="106"/>
  <c r="D6346" i="106" s="1"/>
  <c r="B6347" i="106"/>
  <c r="D6347" i="106" s="1"/>
  <c r="B6348" i="106"/>
  <c r="D6348" i="106" s="1"/>
  <c r="B6349" i="106"/>
  <c r="D6349" i="106"/>
  <c r="B6350" i="106"/>
  <c r="D6350" i="106" s="1"/>
  <c r="B6353" i="106"/>
  <c r="D6353" i="106" s="1"/>
  <c r="B6354" i="106"/>
  <c r="D6354" i="106" s="1"/>
  <c r="B6355" i="106"/>
  <c r="D6355" i="106" s="1"/>
  <c r="B6356" i="106"/>
  <c r="D6356" i="106" s="1"/>
  <c r="B6358" i="106"/>
  <c r="D6358" i="106" s="1"/>
  <c r="B6359" i="106"/>
  <c r="D6359" i="106" s="1"/>
  <c r="B6360" i="106"/>
  <c r="D6360" i="106"/>
  <c r="B6361" i="106"/>
  <c r="D6361" i="106" s="1"/>
  <c r="B6362" i="106"/>
  <c r="D6362" i="106" s="1"/>
  <c r="B6363" i="106"/>
  <c r="D6363" i="106" s="1"/>
  <c r="B6364" i="106"/>
  <c r="D6364" i="106"/>
  <c r="B6365" i="106"/>
  <c r="D6365" i="106" s="1"/>
  <c r="B6366" i="106"/>
  <c r="D6366" i="106" s="1"/>
  <c r="B6367" i="106"/>
  <c r="D6367" i="106" s="1"/>
  <c r="B6368" i="106"/>
  <c r="D6368" i="106"/>
  <c r="B6369" i="106"/>
  <c r="D6369" i="106" s="1"/>
  <c r="B6370" i="106"/>
  <c r="D6370" i="106" s="1"/>
  <c r="B6371" i="106"/>
  <c r="D6371" i="106" s="1"/>
  <c r="B6372" i="106"/>
  <c r="D6372" i="106" s="1"/>
  <c r="B6373" i="106"/>
  <c r="D6373" i="106" s="1"/>
  <c r="B6374" i="106"/>
  <c r="D6374" i="106" s="1"/>
  <c r="B6375" i="106"/>
  <c r="D6375" i="106" s="1"/>
  <c r="B6376" i="106"/>
  <c r="D6376" i="106"/>
  <c r="B6377" i="106"/>
  <c r="D6377" i="106" s="1"/>
  <c r="B6378" i="106"/>
  <c r="D6378" i="106" s="1"/>
  <c r="B6379" i="106"/>
  <c r="D6379" i="106" s="1"/>
  <c r="B6380" i="106"/>
  <c r="D6380" i="106"/>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c r="B6731" i="106"/>
  <c r="D6731" i="106" s="1"/>
  <c r="B6732" i="106"/>
  <c r="D6732" i="106" s="1"/>
  <c r="B6733" i="106"/>
  <c r="D6733" i="106" s="1"/>
  <c r="B6734" i="106"/>
  <c r="D6734" i="106" s="1"/>
  <c r="B6735" i="106"/>
  <c r="D6735" i="106" s="1"/>
  <c r="B6736" i="106"/>
  <c r="D6736" i="106" s="1"/>
  <c r="B6737" i="106"/>
  <c r="D6737" i="106" s="1"/>
  <c r="B6738" i="106"/>
  <c r="D6738" i="106"/>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c r="B6755" i="106"/>
  <c r="D6755" i="106" s="1"/>
  <c r="B6756" i="106"/>
  <c r="D6756" i="106" s="1"/>
  <c r="B6757" i="106"/>
  <c r="D6757" i="106" s="1"/>
  <c r="B6758" i="106"/>
  <c r="D6758" i="106"/>
  <c r="B6759" i="106"/>
  <c r="D6759" i="106" s="1"/>
  <c r="B6760" i="106"/>
  <c r="D6760" i="106" s="1"/>
  <c r="B6761" i="106"/>
  <c r="D6761" i="106" s="1"/>
  <c r="B6762" i="106"/>
  <c r="D6762" i="106"/>
  <c r="B6763" i="106"/>
  <c r="D6763" i="106" s="1"/>
  <c r="B6764" i="106"/>
  <c r="D6764" i="106" s="1"/>
  <c r="B6765" i="106"/>
  <c r="D6765" i="106" s="1"/>
  <c r="B6766" i="106"/>
  <c r="D6766" i="106" s="1"/>
  <c r="B6767" i="106"/>
  <c r="D6767" i="106" s="1"/>
  <c r="B6768" i="106"/>
  <c r="D6768" i="106" s="1"/>
  <c r="B6769" i="106"/>
  <c r="D6769" i="106" s="1"/>
  <c r="B6770" i="106"/>
  <c r="D6770" i="106"/>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s="1"/>
  <c r="B6789" i="106"/>
  <c r="D6789" i="106" s="1"/>
  <c r="B6790" i="106"/>
  <c r="D6790" i="106"/>
  <c r="B6791" i="106"/>
  <c r="D6791" i="106" s="1"/>
  <c r="B6792" i="106"/>
  <c r="D6792" i="106" s="1"/>
  <c r="B6793" i="106"/>
  <c r="D6793" i="106" s="1"/>
  <c r="B6794" i="106"/>
  <c r="D6794" i="106"/>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F26" i="108"/>
  <c r="G26" i="108"/>
  <c r="D27" i="108"/>
  <c r="E27" i="108"/>
  <c r="F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C14" i="4"/>
  <c r="B2558" i="106" s="1"/>
  <c r="D2558" i="106" s="1"/>
  <c r="D14" i="4"/>
  <c r="B2570" i="106" s="1"/>
  <c r="D2570" i="106" s="1"/>
  <c r="B2633" i="106"/>
  <c r="D2633" i="106" s="1"/>
  <c r="N22" i="3"/>
  <c r="B283" i="106" s="1"/>
  <c r="D283" i="106" s="1"/>
  <c r="D7" i="118"/>
  <c r="D8" i="118"/>
  <c r="D9" i="118"/>
  <c r="H14" i="118"/>
  <c r="H19" i="118"/>
  <c r="H24" i="118"/>
  <c r="H28" i="118"/>
  <c r="D22" i="37"/>
  <c r="H22" i="37"/>
  <c r="L22" i="37"/>
  <c r="D4" i="7"/>
  <c r="B1760" i="106" s="1"/>
  <c r="D1760" i="106" s="1"/>
  <c r="D5" i="7"/>
  <c r="B1761" i="106" s="1"/>
  <c r="D1761" i="106" s="1"/>
  <c r="B5752" i="106"/>
  <c r="D5752" i="106" s="1"/>
  <c r="D7" i="7"/>
  <c r="B1763" i="106" s="1"/>
  <c r="D1763" i="106" s="1"/>
  <c r="D11" i="7"/>
  <c r="B1768" i="106" s="1"/>
  <c r="D1768" i="106" s="1"/>
  <c r="D15" i="7"/>
  <c r="B1772" i="106" s="1"/>
  <c r="D1772" i="106" s="1"/>
  <c r="B1996" i="106" l="1"/>
  <c r="D1996" i="106" s="1"/>
  <c r="I26" i="12"/>
  <c r="B7741" i="106" s="1"/>
  <c r="D7741" i="106" s="1"/>
  <c r="J22" i="37"/>
  <c r="F71" i="34"/>
  <c r="D68" i="36"/>
  <c r="K285" i="29"/>
  <c r="F14" i="4"/>
  <c r="B2597" i="106" s="1"/>
  <c r="D2597" i="106" s="1"/>
  <c r="G14" i="4"/>
  <c r="B2609" i="106" s="1"/>
  <c r="D2609" i="106" s="1"/>
  <c r="F62" i="34"/>
  <c r="K26" i="12"/>
  <c r="B7743" i="106" s="1"/>
  <c r="D7743" i="106" s="1"/>
  <c r="B7076" i="106"/>
  <c r="D7076" i="106" s="1"/>
  <c r="F127" i="34"/>
  <c r="L5" i="11"/>
  <c r="B2056" i="106" s="1"/>
  <c r="D2056" i="106" s="1"/>
  <c r="F41" i="34"/>
  <c r="F35" i="34"/>
  <c r="G35" i="108"/>
  <c r="D26" i="108"/>
  <c r="F49" i="34"/>
  <c r="D12" i="7"/>
  <c r="B1769" i="106" s="1"/>
  <c r="D1769" i="106" s="1"/>
  <c r="D17" i="7"/>
  <c r="B4104" i="106" s="1"/>
  <c r="D4104" i="106" s="1"/>
  <c r="D9" i="7"/>
  <c r="B1767" i="106" s="1"/>
  <c r="D1767" i="106" s="1"/>
  <c r="D24" i="37"/>
  <c r="B4270" i="106" s="1"/>
  <c r="D4270" i="106" s="1"/>
  <c r="F72" i="34"/>
  <c r="F45" i="34"/>
  <c r="G39" i="108"/>
  <c r="E35" i="108"/>
  <c r="G29" i="108"/>
  <c r="J352" i="29"/>
  <c r="J367" i="29" s="1"/>
  <c r="B7245" i="106" s="1"/>
  <c r="D7245" i="106" s="1"/>
  <c r="D6103" i="106"/>
  <c r="B1126" i="106"/>
  <c r="D1126" i="106" s="1"/>
  <c r="C342" i="29"/>
  <c r="B7216" i="106" s="1"/>
  <c r="D7216" i="106" s="1"/>
  <c r="B7235" i="106"/>
  <c r="D7235" i="106" s="1"/>
  <c r="D5" i="4"/>
  <c r="B3406" i="106" s="1"/>
  <c r="D3406" i="106" s="1"/>
  <c r="B4373" i="106"/>
  <c r="D4373" i="106" s="1"/>
  <c r="I173" i="5"/>
  <c r="B4216" i="106" s="1"/>
  <c r="D4216" i="106" s="1"/>
  <c r="E109" i="5"/>
  <c r="E4" i="4" s="1"/>
  <c r="B2630" i="106" s="1"/>
  <c r="D2630" i="106" s="1"/>
  <c r="F111" i="34"/>
  <c r="C129" i="29"/>
  <c r="I342" i="29"/>
  <c r="B7222" i="106" s="1"/>
  <c r="D7222" i="106" s="1"/>
  <c r="H365" i="29"/>
  <c r="B7242" i="106" s="1"/>
  <c r="D7242" i="106" s="1"/>
  <c r="F131" i="34"/>
  <c r="B3254" i="106"/>
  <c r="D3254" i="106" s="1"/>
  <c r="H76" i="4"/>
  <c r="B3298" i="106" s="1"/>
  <c r="D3298" i="106" s="1"/>
  <c r="F106" i="34"/>
  <c r="D109" i="5"/>
  <c r="C172" i="5"/>
  <c r="B5214" i="106" s="1"/>
  <c r="D5214" i="106" s="1"/>
  <c r="K274" i="5"/>
  <c r="F136" i="34"/>
  <c r="G172" i="5"/>
  <c r="H109" i="5"/>
  <c r="J77" i="4"/>
  <c r="B6262" i="106" s="1"/>
  <c r="D6262" i="106" s="1"/>
  <c r="L367" i="29"/>
  <c r="L342" i="29"/>
  <c r="B3619" i="106"/>
  <c r="D3619" i="106" s="1"/>
  <c r="B1329" i="106"/>
  <c r="D1329" i="106" s="1"/>
  <c r="F61" i="34"/>
  <c r="B3621" i="106"/>
  <c r="D3621" i="106" s="1"/>
  <c r="C367" i="29"/>
  <c r="L312" i="29"/>
  <c r="G210" i="29"/>
  <c r="E174" i="29"/>
  <c r="B1309" i="106" s="1"/>
  <c r="D1309" i="106" s="1"/>
  <c r="B3649" i="106"/>
  <c r="D3649" i="106" s="1"/>
  <c r="G367" i="29"/>
  <c r="B1410" i="106"/>
  <c r="D1410" i="106" s="1"/>
  <c r="K350" i="29"/>
  <c r="K184" i="29"/>
  <c r="F13" i="4" s="1"/>
  <c r="B2596" i="106" s="1"/>
  <c r="D2596" i="106" s="1"/>
  <c r="H173" i="5"/>
  <c r="F128" i="34"/>
  <c r="K173" i="5"/>
  <c r="K6" i="4" s="1"/>
  <c r="B3570" i="106" s="1"/>
  <c r="D3570" i="106" s="1"/>
  <c r="F172" i="5"/>
  <c r="B5644" i="106" s="1"/>
  <c r="D5644" i="106" s="1"/>
  <c r="C109" i="5"/>
  <c r="B5121" i="106" s="1"/>
  <c r="D5121" i="106" s="1"/>
  <c r="F130" i="34"/>
  <c r="J274" i="5"/>
  <c r="B7054" i="106" s="1"/>
  <c r="D7054" i="106" s="1"/>
  <c r="D13" i="7"/>
  <c r="B3726" i="106" s="1"/>
  <c r="D3726" i="106" s="1"/>
  <c r="G109" i="5"/>
  <c r="J41" i="3"/>
  <c r="D51" i="36" s="1"/>
  <c r="K41" i="3"/>
  <c r="D54" i="36"/>
  <c r="H33" i="118"/>
  <c r="B1746" i="106"/>
  <c r="D1746" i="106" s="1"/>
  <c r="F19" i="7"/>
  <c r="B1807" i="106" s="1"/>
  <c r="D1807" i="106" s="1"/>
  <c r="D31" i="36"/>
  <c r="H29" i="118"/>
  <c r="K28" i="118" s="1"/>
  <c r="O27" i="118" s="1"/>
  <c r="O29" i="118" s="1"/>
  <c r="D11" i="37"/>
  <c r="K76" i="4"/>
  <c r="B3586" i="106" s="1"/>
  <c r="D3586"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3447" i="106"/>
  <c r="D3447" i="106" s="1"/>
  <c r="B7270" i="106"/>
  <c r="D7252" i="106" l="1"/>
  <c r="D7256" i="106"/>
  <c r="D7251" i="106"/>
  <c r="B5527" i="106"/>
  <c r="D5527" i="106" s="1"/>
  <c r="F73" i="34"/>
  <c r="G15" i="4"/>
  <c r="B6032" i="106" s="1"/>
  <c r="D6032" i="106" s="1"/>
  <c r="D7255" i="106"/>
  <c r="D7253" i="106"/>
  <c r="K77" i="4"/>
  <c r="B3587" i="106" s="1"/>
  <c r="D3587" i="106" s="1"/>
  <c r="D44" i="36"/>
  <c r="C173" i="5"/>
  <c r="B5223" i="106" s="1"/>
  <c r="D5223" i="106" s="1"/>
  <c r="C4" i="4"/>
  <c r="B2551" i="106" s="1"/>
  <c r="D2551" i="106" s="1"/>
  <c r="B6024" i="106"/>
  <c r="D6024" i="106" s="1"/>
  <c r="G4" i="4"/>
  <c r="B2603" i="106" s="1"/>
  <c r="D2603" i="106" s="1"/>
  <c r="B5906" i="106"/>
  <c r="D5906" i="106" s="1"/>
  <c r="H6" i="4"/>
  <c r="B2656" i="106" s="1"/>
  <c r="D2656" i="106" s="1"/>
  <c r="B6025" i="106"/>
  <c r="D6025" i="106" s="1"/>
  <c r="H4" i="4"/>
  <c r="F274" i="5"/>
  <c r="G173" i="5"/>
  <c r="B5770" i="106"/>
  <c r="D5770" i="106" s="1"/>
  <c r="B5356" i="106"/>
  <c r="D5356" i="106" s="1"/>
  <c r="D4" i="4"/>
  <c r="B2564" i="106" s="1"/>
  <c r="D2564" i="106" s="1"/>
  <c r="B1365" i="106"/>
  <c r="D1365" i="106" s="1"/>
  <c r="F65" i="34"/>
  <c r="L114" i="29"/>
  <c r="B3670" i="106"/>
  <c r="D3670" i="106" s="1"/>
  <c r="K352" i="29"/>
  <c r="K367" i="29" s="1"/>
  <c r="H367" i="29"/>
  <c r="B3660" i="106" s="1"/>
  <c r="D3660" i="106" s="1"/>
  <c r="D274" i="5"/>
  <c r="F173" i="5"/>
  <c r="B3568" i="106"/>
  <c r="D3568" i="106" s="1"/>
  <c r="D52" i="36"/>
  <c r="C114" i="29"/>
  <c r="B757" i="106" s="1"/>
  <c r="D757" i="106" s="1"/>
  <c r="C6" i="4"/>
  <c r="B2553" i="106" s="1"/>
  <c r="D255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J8" i="4" l="1"/>
  <c r="D275" i="5"/>
  <c r="B5778" i="106"/>
  <c r="D5778" i="106" s="1"/>
  <c r="G6" i="4"/>
  <c r="B2604" i="106" s="1"/>
  <c r="D2604" i="106" s="1"/>
  <c r="F275" i="5"/>
  <c r="B5720" i="106" s="1"/>
  <c r="D5720" i="106" s="1"/>
  <c r="B5653" i="106"/>
  <c r="D5653" i="106" s="1"/>
  <c r="F6" i="4"/>
  <c r="B2593" i="106" s="1"/>
  <c r="D2593" i="106" s="1"/>
  <c r="B2655" i="106"/>
  <c r="D2655" i="106" s="1"/>
  <c r="H8" i="4"/>
  <c r="K13" i="4"/>
  <c r="B3572" i="106" s="1"/>
  <c r="D3572" i="106" s="1"/>
  <c r="B3672" i="106"/>
  <c r="D3672" i="106" s="1"/>
  <c r="F8" i="4"/>
  <c r="F10" i="4" s="1"/>
  <c r="B4125" i="106" s="1"/>
  <c r="D4125" i="106" s="1"/>
  <c r="J17" i="4"/>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K17" i="4"/>
  <c r="B2595" i="106"/>
  <c r="D2595" i="106" s="1"/>
  <c r="B2658" i="106"/>
  <c r="D2658" i="106" s="1"/>
  <c r="H10" i="4"/>
  <c r="B4127" i="106" s="1"/>
  <c r="D4127" i="106" s="1"/>
  <c r="F76" i="34"/>
  <c r="D8" i="4"/>
  <c r="C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B2568" i="106"/>
  <c r="D2568" i="106" s="1"/>
  <c r="D20" i="4" l="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<sst xmlns="http://schemas.openxmlformats.org/spreadsheetml/2006/main" count="5056" uniqueCount="2104">
  <si>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</si>
  <si>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</si>
  <si>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</si>
  <si>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</si>
  <si>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</si>
  <si>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</si>
  <si>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</si>
  <si>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</si>
  <si>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</si>
  <si>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</si>
  <si>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</si>
  <si>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</si>
  <si>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</si>
  <si>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</si>
  <si>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</si>
  <si>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</si>
  <si>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</si>
  <si>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</si>
  <si>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</si>
  <si>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</si>
  <si>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</si>
  <si>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</si>
  <si>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</si>
  <si>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</si>
  <si>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</si>
  <si>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</si>
  <si>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</si>
  <si>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</si>
  <si>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</si>
  <si>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</si>
  <si>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</si>
  <si>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</si>
  <si>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</si>
  <si>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</si>
  <si>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</si>
  <si>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</si>
  <si>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</si>
  <si>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</si>
  <si>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</si>
  <si>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</si>
  <si>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</si>
  <si>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</si>
  <si>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</si>
  <si>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</si>
  <si>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</si>
  <si>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</si>
  <si>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</si>
  <si>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</si>
  <si>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</si>
  <si>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</si>
  <si>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</si>
  <si>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</si>
  <si>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</si>
  <si>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</si>
  <si>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</si>
  <si>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</si>
  <si>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</si>
  <si>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</si>
  <si>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</si>
  <si>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</si>
  <si>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</si>
  <si>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</si>
  <si>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</si>
  <si>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</si>
  <si>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</si>
  <si>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</si>
  <si>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</si>
  <si>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</si>
  <si>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</si>
  <si>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</si>
  <si>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</si>
  <si>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</si>
  <si>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</si>
  <si>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</si>
  <si>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</si>
  <si>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</si>
  <si>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</si>
  <si>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</si>
  <si>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</si>
  <si>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</si>
  <si>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</si>
  <si>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</si>
  <si>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</si>
  <si>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</si>
  <si>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</si>
  <si>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</si>
  <si>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</si>
  <si>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</si>
  <si>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</si>
  <si>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</si>
  <si>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</si>
  <si>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</si>
  <si>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</si>
  <si>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</si>
  <si>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</si>
  <si>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</si>
  <si>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</si>
  <si>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</si>
  <si>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</si>
  <si>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</si>
  <si>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</si>
  <si>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</si>
  <si>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</si>
  <si>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</si>
  <si>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</si>
  <si>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</si>
  <si>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</si>
  <si>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</si>
  <si>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</si>
  <si>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</si>
  <si>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</si>
  <si>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</si>
  <si>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</si>
  <si>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</si>
  <si>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</si>
  <si>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</si>
  <si>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</si>
  <si>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</si>
  <si>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</si>
  <si>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</si>
  <si>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</si>
  <si>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</si>
  <si>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</si>
  <si>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</si>
  <si>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</si>
  <si>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</si>
  <si>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</si>
  <si>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</si>
  <si>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</si>
  <si>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</si>
  <si>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</si>
  <si>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</si>
  <si>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</si>
  <si>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</si>
  <si>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</si>
  <si>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</si>
  <si>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</si>
  <si>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</si>
  <si>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</si>
  <si>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</si>
  <si>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</si>
  <si>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</si>
  <si>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</si>
  <si>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</si>
  <si>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</si>
  <si>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</si>
  <si>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</si>
  <si>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</si>
  <si>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</si>
  <si>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</si>
  <si>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</si>
  <si>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</si>
  <si>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</si>
  <si>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</si>
  <si>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</si>
  <si>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</si>
  <si>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</si>
  <si>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</si>
  <si>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</si>
  <si>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</si>
  <si>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</si>
  <si>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</si>
  <si>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</si>
  <si>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</si>
  <si>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</si>
  <si>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</si>
  <si>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</si>
  <si>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</si>
  <si>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</si>
  <si>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</si>
  <si>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</si>
  <si>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</si>
  <si>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</si>
  <si>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</si>
  <si>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</si>
  <si>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</si>
  <si>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</si>
  <si>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</si>
  <si>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</si>
  <si>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</si>
  <si>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</si>
  <si>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</si>
  <si>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</si>
  <si>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</si>
  <si>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</si>
  <si>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</si>
  <si>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</si>
  <si>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</si>
  <si>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</si>
  <si>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</si>
  <si>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</si>
  <si>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</si>
  <si>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</si>
  <si>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</si>
  <si>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</si>
  <si>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</si>
  <si>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</si>
  <si>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</si>
  <si>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</si>
  <si>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</si>
  <si>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</si>
  <si>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</si>
  <si>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</si>
  <si>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</si>
  <si>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</si>
  <si>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</si>
  <si>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</si>
  <si>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</si>
  <si>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</si>
  <si>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</si>
  <si>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</si>
  <si>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</si>
  <si>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</si>
  <si>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</si>
  <si>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</si>
  <si>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</si>
  <si>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</si>
  <si>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</si>
  <si>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</si>
  <si>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</si>
  <si>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</si>
  <si>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</si>
  <si>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</si>
  <si>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</si>
  <si>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</si>
  <si>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</si>
  <si>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</si>
  <si>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</si>
  <si>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</si>
  <si>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</si>
  <si>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</si>
  <si>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</si>
  <si>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</si>
  <si>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</si>
  <si>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</si>
  <si>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</si>
  <si>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</si>
  <si>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</si>
  <si>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</si>
  <si>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</si>
  <si>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</si>
  <si>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</si>
  <si>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</si>
  <si>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</si>
  <si>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</si>
  <si>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</si>
  <si>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</si>
  <si>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</si>
  <si>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</si>
  <si>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</si>
  <si>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</si>
  <si>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</si>
  <si>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</si>
  <si>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</si>
  <si>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</si>
  <si>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</si>
  <si>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</si>
  <si>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</si>
  <si>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</si>
  <si>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</si>
  <si>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</si>
  <si>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</si>
  <si>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</si>
  <si>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</si>
  <si>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</si>
  <si>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</si>
  <si>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</si>
  <si>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</si>
  <si>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</si>
  <si>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</si>
  <si>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</si>
  <si>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</si>
  <si>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</si>
  <si>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</si>
  <si>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</si>
  <si>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</si>
  <si>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</si>
  <si>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</si>
  <si>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</si>
  <si>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</si>
  <si>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</si>
  <si>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</si>
  <si>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</si>
  <si>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</si>
  <si>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</si>
  <si>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</si>
  <si>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</si>
  <si>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</si>
  <si>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</si>
  <si>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</si>
  <si>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</si>
  <si>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</si>
  <si>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</si>
  <si>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</si>
  <si>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</si>
  <si>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</si>
  <si>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</si>
  <si>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</si>
  <si>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</si>
  <si>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</si>
  <si>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</si>
  <si>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</si>
  <si>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</si>
  <si>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</si>
  <si>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</si>
  <si>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</si>
  <si>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</si>
  <si>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</si>
  <si>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</si>
  <si>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</si>
  <si>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</si>
  <si>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</si>
  <si>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</si>
  <si>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</si>
  <si>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</si>
  <si>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</si>
  <si>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</si>
  <si>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</si>
  <si>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</si>
  <si>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</si>
  <si>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</si>
  <si>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</si>
  <si>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</si>
  <si>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</si>
  <si>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</si>
  <si>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</si>
  <si>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</si>
  <si>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</si>
  <si>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</si>
  <si>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</si>
  <si>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</si>
  <si>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</si>
  <si>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</si>
  <si>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</si>
  <si>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</si>
  <si>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</si>
  <si>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</si>
  <si>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</si>
  <si>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</si>
  <si>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</si>
  <si>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</si>
  <si>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</si>
  <si>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</si>
  <si>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</si>
  <si>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</si>
  <si>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</si>
  <si>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</si>
  <si>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</si>
  <si>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</si>
  <si>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</si>
  <si>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</si>
  <si>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</si>
  <si>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</si>
  <si>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</si>
  <si>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</si>
  <si>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</si>
  <si>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</si>
  <si>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</si>
  <si>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</si>
  <si>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</si>
  <si>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</si>
  <si>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</si>
  <si>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</si>
  <si>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</si>
  <si>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</si>
  <si>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</si>
  <si>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</si>
  <si>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</si>
  <si>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</si>
  <si>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</si>
  <si>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</si>
  <si>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</si>
  <si>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</si>
  <si>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</si>
  <si>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</si>
  <si>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</si>
  <si>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</si>
  <si>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</si>
  <si>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</si>
  <si>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</si>
  <si>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</si>
  <si>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</si>
  <si>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</si>
  <si>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</si>
  <si>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</si>
  <si>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</si>
  <si>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</si>
  <si>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</si>
  <si>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</si>
  <si>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</si>
  <si>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</si>
  <si>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</si>
  <si>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</si>
  <si>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</si>
  <si>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</si>
  <si>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</si>
  <si>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</si>
  <si>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</si>
  <si>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</si>
  <si>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</si>
  <si>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</si>
  <si>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</si>
  <si>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</si>
  <si>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</si>
  <si>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</si>
  <si>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</si>
  <si>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</si>
  <si>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</si>
  <si>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</si>
  <si>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</si>
  <si>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</si>
  <si>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</si>
  <si>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</si>
  <si>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</si>
  <si>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</si>
  <si>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</si>
  <si>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</si>
  <si>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</si>
  <si>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</si>
  <si>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</si>
  <si>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</si>
  <si>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</si>
  <si>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</si>
  <si>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</si>
  <si>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</si>
  <si>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</si>
  <si>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</si>
  <si>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</si>
  <si>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</si>
  <si>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</si>
  <si>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</si>
  <si>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</si>
  <si>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</si>
  <si>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</si>
  <si>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</si>
  <si>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</si>
  <si>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</si>
  <si>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</si>
  <si>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</si>
  <si>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</si>
  <si>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</si>
  <si>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</si>
  <si>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</si>
  <si>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</si>
  <si>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</si>
  <si>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</si>
  <si>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</si>
  <si>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</si>
  <si>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</si>
  <si>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</si>
  <si>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</si>
  <si>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</si>
  <si>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</si>
  <si>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</si>
  <si>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</si>
  <si>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</si>
  <si>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</si>
  <si>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</si>
  <si>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</si>
  <si>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</si>
  <si>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</si>
  <si>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</si>
  <si>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</si>
  <si>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</si>
  <si>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</si>
  <si>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</si>
  <si>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</si>
  <si>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</si>
  <si>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</si>
  <si>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</si>
  <si>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</si>
  <si>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</si>
  <si>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</si>
  <si>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</si>
  <si>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</si>
  <si>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</si>
  <si>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</si>
  <si>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</si>
  <si>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</si>
  <si>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</si>
  <si>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</si>
  <si>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</si>
  <si>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</si>
  <si>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</si>
  <si>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</si>
  <si>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</si>
  <si>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</si>
  <si>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</si>
  <si>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</si>
  <si>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</si>
  <si>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</si>
  <si>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</si>
  <si>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</si>
  <si>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</si>
  <si>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</si>
  <si>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</si>
  <si>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</si>
  <si>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</si>
  <si>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</si>
  <si>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</si>
  <si>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</si>
  <si>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</si>
  <si>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</si>
  <si>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</si>
  <si>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</si>
  <si>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</si>
  <si>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</si>
  <si>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</si>
  <si>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</si>
  <si>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</si>
  <si>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</si>
  <si>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</si>
  <si>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</si>
  <si>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</si>
  <si>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</si>
  <si>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</si>
  <si>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</si>
  <si>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</si>
  <si>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</si>
  <si>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</si>
  <si>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</si>
  <si>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</si>
  <si>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</si>
  <si>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</si>
  <si>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</si>
  <si>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</si>
  <si>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</si>
  <si>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</si>
  <si>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</si>
  <si>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</si>
  <si>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</si>
  <si>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</si>
  <si>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</si>
  <si>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</si>
  <si>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</si>
  <si>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</si>
  <si>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</si>
  <si>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</si>
  <si>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</si>
  <si>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</si>
  <si>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</si>
  <si>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</si>
  <si>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</si>
  <si>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</si>
  <si>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</si>
  <si>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</si>
  <si>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</si>
  <si>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</si>
  <si>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</si>
  <si>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</si>
  <si>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</si>
  <si>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</si>
  <si>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</si>
  <si>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</si>
  <si>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</si>
  <si>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</si>
  <si>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</si>
  <si>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</si>
  <si>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</si>
  <si>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</si>
  <si>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</si>
  <si>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</si>
  <si>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</si>
  <si>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</si>
  <si>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</si>
  <si>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</si>
  <si>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</si>
  <si>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</si>
  <si>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</si>
  <si>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</si>
  <si>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</si>
  <si>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</si>
  <si>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</si>
  <si>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</si>
  <si>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</si>
  <si>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</si>
  <si>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</si>
  <si>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</si>
  <si>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</si>
  <si>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</si>
  <si>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</si>
  <si>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</si>
  <si>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</si>
  <si>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</si>
  <si>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</si>
  <si>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</si>
  <si>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</si>
  <si>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</si>
  <si>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</si>
  <si>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</si>
  <si>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</si>
  <si>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</si>
  <si>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</si>
  <si>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</si>
  <si>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</si>
  <si>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</si>
  <si>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</si>
  <si>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</si>
  <si>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</si>
  <si>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</si>
  <si>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</si>
  <si>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</si>
  <si>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</si>
  <si>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</si>
  <si>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</si>
  <si>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</si>
  <si>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</si>
  <si>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</si>
  <si>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</si>
  <si>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</si>
  <si>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</si>
  <si>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</si>
  <si>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</si>
  <si>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</si>
  <si>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</si>
  <si>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</si>
  <si>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</si>
  <si>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</si>
  <si>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</si>
  <si>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</si>
  <si>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</si>
  <si>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</si>
  <si>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</si>
  <si>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</si>
  <si>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</si>
  <si>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</si>
  <si>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</si>
  <si>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</si>
  <si>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</si>
  <si>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</si>
  <si>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</si>
  <si>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</si>
  <si>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</si>
  <si>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</si>
  <si>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</si>
  <si>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</si>
  <si>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</si>
  <si>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</si>
  <si>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</si>
  <si>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</si>
  <si>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</si>
  <si>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</si>
  <si>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</si>
  <si>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</si>
  <si>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</si>
  <si>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</si>
  <si>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</si>
  <si>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</si>
  <si>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</si>
  <si>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</si>
  <si>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</si>
  <si>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</si>
  <si>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</si>
  <si>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</si>
  <si>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</si>
  <si>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</si>
  <si>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</si>
  <si>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</si>
  <si>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</si>
  <si>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</si>
  <si>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</si>
  <si>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</si>
  <si>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</si>
  <si>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</si>
  <si>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</si>
  <si>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</si>
  <si>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</si>
  <si>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</si>
  <si>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</si>
  <si>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</si>
  <si>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</si>
  <si>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</si>
  <si>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</si>
  <si>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</si>
  <si>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</si>
  <si>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</si>
  <si>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</si>
  <si>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</si>
  <si>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</si>
  <si>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</si>
  <si>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</si>
  <si>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</si>
  <si>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</si>
  <si>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</si>
  <si>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</si>
  <si>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</si>
  <si>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</si>
  <si>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</si>
  <si>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</si>
  <si>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</si>
  <si>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</si>
  <si>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</si>
  <si>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</si>
  <si>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</si>
  <si>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</si>
  <si>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</si>
  <si>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</si>
  <si>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</si>
  <si>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</si>
  <si>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</si>
  <si>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</si>
  <si>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</si>
  <si>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</si>
  <si>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</si>
  <si>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</si>
  <si>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</si>
  <si>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</si>
  <si>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</si>
  <si>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</si>
  <si>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</si>
  <si>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</si>
  <si>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</si>
  <si>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</si>
  <si>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</si>
  <si>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</si>
  <si>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</si>
  <si>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</si>
  <si>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</si>
  <si>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</si>
  <si>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</si>
  <si>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</si>
  <si>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</si>
  <si>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</si>
  <si>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</si>
  <si>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</si>
  <si>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</si>
  <si>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</si>
  <si>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</si>
  <si>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</si>
  <si>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</si>
  <si>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</si>
  <si>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</si>
  <si>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</si>
  <si>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</si>
  <si>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</si>
  <si>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</si>
  <si>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</si>
  <si>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</si>
  <si>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</si>
  <si>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</si>
  <si>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</si>
  <si>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</si>
  <si>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</si>
  <si>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</si>
  <si>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</si>
  <si>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</si>
  <si>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</si>
  <si>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</si>
  <si>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</si>
  <si>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</si>
  <si>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</si>
  <si>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</si>
  <si>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</si>
  <si>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</si>
  <si>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</si>
  <si>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</si>
  <si>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</si>
  <si>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</si>
  <si>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</si>
  <si>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</si>
  <si>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</si>
  <si>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</si>
  <si>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</si>
  <si>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</si>
  <si>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</si>
  <si>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</si>
  <si>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</si>
  <si>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</si>
  <si>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</si>
  <si>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</si>
  <si>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</si>
  <si>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</si>
  <si>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</si>
  <si>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</si>
  <si>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</si>
  <si>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</si>
  <si>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</si>
  <si>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</si>
  <si>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</si>
  <si>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</si>
  <si>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</si>
  <si>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</si>
  <si>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</si>
  <si>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</si>
  <si>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</si>
  <si>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</si>
  <si>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</si>
  <si>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</si>
  <si>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</si>
  <si>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</si>
  <si>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</si>
  <si>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</si>
  <si>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</si>
  <si>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</si>
  <si>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</si>
  <si>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</si>
  <si>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</si>
  <si>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</si>
  <si>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</si>
  <si>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</si>
  <si>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</si>
  <si>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</si>
  <si>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</si>
  <si>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</si>
  <si>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</si>
  <si>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</si>
  <si>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</si>
  <si>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</si>
  <si>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</si>
  <si>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</si>
  <si>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</si>
  <si>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</si>
  <si>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</si>
  <si>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</si>
  <si>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</si>
  <si>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</si>
  <si>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</si>
  <si>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</si>
  <si>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</si>
  <si>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</si>
  <si>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</si>
  <si>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</si>
  <si>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</si>
  <si>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</si>
  <si>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</si>
  <si>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</si>
  <si>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</si>
  <si>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</si>
  <si>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</si>
  <si>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</si>
  <si>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</si>
  <si>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</si>
  <si>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</si>
  <si>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</si>
  <si>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</si>
  <si>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</si>
  <si>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</si>
  <si>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</si>
  <si>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</si>
  <si>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</si>
  <si>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</si>
  <si>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</si>
  <si>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</si>
  <si>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</si>
  <si>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</si>
  <si>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</si>
  <si>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</si>
  <si>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</si>
  <si>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</si>
  <si>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</si>
  <si>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</si>
  <si>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</si>
  <si>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</si>
  <si>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</si>
  <si>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</si>
  <si>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</si>
  <si>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</si>
  <si>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</si>
  <si>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</si>
  <si>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</si>
  <si>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</si>
  <si>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</si>
  <si>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</si>
  <si>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</si>
  <si>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</si>
  <si>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</si>
  <si>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</si>
  <si>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</si>
  <si>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</si>
  <si>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</si>
  <si>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</si>
  <si>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</si>
  <si>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</si>
  <si>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</si>
  <si>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</si>
  <si>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</si>
  <si>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</si>
  <si>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</si>
  <si>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</si>
  <si>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</si>
  <si>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</si>
  <si>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</si>
  <si>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</si>
  <si>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</si>
  <si>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</si>
  <si>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</si>
  <si>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</si>
  <si>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</si>
  <si>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</si>
  <si>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</si>
  <si>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</si>
  <si>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</si>
  <si>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</si>
  <si>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</si>
  <si>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</si>
  <si>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</si>
  <si>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</si>
  <si>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</si>
  <si>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</si>
  <si>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</si>
  <si>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</si>
  <si>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</si>
  <si>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</si>
  <si>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</si>
  <si>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</si>
  <si>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</si>
  <si>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</si>
  <si>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</si>
  <si>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</si>
  <si>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</si>
  <si>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</si>
  <si>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</si>
  <si>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</si>
  <si>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</si>
  <si>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</si>
  <si>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</si>
  <si>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</si>
  <si>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</si>
  <si>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</si>
  <si>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</si>
  <si>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</si>
  <si>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</si>
  <si>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</si>
  <si>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</si>
  <si>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</si>
  <si>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</si>
  <si>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</si>
  <si>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</si>
  <si>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</si>
  <si>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</si>
  <si>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</si>
  <si>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</si>
  <si>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</si>
  <si>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</si>
  <si>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</si>
  <si>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</si>
  <si>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</si>
  <si>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</si>
  <si>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</si>
  <si>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</si>
  <si>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</si>
  <si>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</si>
  <si>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</si>
  <si>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</si>
  <si>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</si>
  <si>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</si>
  <si>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</si>
  <si>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</si>
  <si>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</si>
  <si>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</si>
  <si>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</si>
  <si>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</si>
  <si>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</si>
  <si>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</si>
  <si>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</si>
  <si>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</si>
  <si>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</si>
  <si>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</si>
  <si>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</si>
  <si>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</si>
  <si>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</si>
  <si>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</si>
  <si>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</si>
  <si>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</si>
  <si>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</si>
  <si>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</si>
  <si>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</si>
  <si>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</si>
  <si>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</si>
  <si>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</si>
  <si>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</si>
  <si>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</si>
  <si>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</si>
  <si>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</si>
  <si>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</si>
  <si>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</si>
  <si>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</si>
  <si>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</si>
  <si>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</si>
  <si>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</si>
  <si>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</si>
  <si>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</si>
  <si>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</si>
  <si>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</si>
  <si>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</si>
  <si>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</si>
  <si>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</si>
  <si>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</si>
  <si>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</si>
  <si>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</si>
  <si>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</si>
  <si>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</si>
  <si>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</si>
  <si>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</si>
  <si>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</si>
  <si>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</si>
  <si>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</si>
  <si>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</si>
  <si>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</si>
  <si>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</si>
  <si>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</si>
  <si>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</si>
  <si>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</si>
  <si>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</si>
  <si>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</si>
  <si>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</si>
  <si>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</si>
  <si>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</si>
  <si>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</si>
  <si>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</si>
  <si>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</si>
  <si>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</si>
  <si>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</si>
  <si>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</si>
  <si>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</si>
  <si>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</si>
  <si>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</si>
  <si>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</si>
  <si>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</si>
  <si>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</si>
  <si>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</si>
  <si>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</si>
  <si>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</si>
  <si>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</si>
  <si>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</si>
  <si>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</si>
  <si>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</si>
  <si>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</si>
  <si>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</si>
  <si>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</si>
  <si>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</si>
  <si>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</si>
  <si>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</si>
  <si>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</si>
  <si>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</si>
  <si>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</si>
  <si>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</si>
  <si>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</si>
  <si>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</si>
  <si>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</si>
  <si>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</si>
  <si>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</si>
  <si>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</si>
  <si>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</si>
  <si>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</si>
  <si>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</si>
  <si>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</si>
  <si>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</si>
  <si>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</si>
  <si>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</si>
  <si>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</si>
  <si>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</si>
  <si>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</si>
  <si>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</si>
  <si>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</si>
  <si>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</si>
  <si>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</si>
  <si>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</si>
  <si>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</si>
  <si>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</si>
  <si>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</si>
  <si>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</si>
  <si>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</si>
  <si>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</si>
  <si>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</si>
  <si>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</si>
  <si>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</si>
  <si>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</si>
  <si>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</si>
  <si>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</si>
  <si>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</si>
  <si>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</si>
  <si>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</si>
  <si>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</si>
  <si>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</si>
  <si>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</si>
  <si>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</si>
  <si>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</si>
  <si>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</si>
  <si>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</si>
  <si>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</si>
  <si>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</si>
  <si>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</si>
  <si>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</si>
  <si>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</si>
  <si>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</si>
  <si>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</si>
  <si>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</si>
  <si>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</si>
  <si>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</si>
  <si>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</si>
  <si>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</si>
  <si>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</si>
  <si>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</si>
  <si>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</si>
  <si>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</si>
  <si>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</si>
  <si>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</si>
  <si>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</si>
  <si>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</si>
  <si>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</si>
  <si>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</si>
  <si>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</si>
  <si>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</si>
  <si>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</si>
  <si>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</si>
  <si>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</si>
  <si>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</si>
  <si>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</si>
  <si>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</si>
  <si>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</si>
  <si>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</si>
  <si>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</si>
  <si>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</si>
  <si>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</si>
  <si>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</si>
  <si>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</si>
  <si>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</si>
  <si>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</si>
  <si>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</si>
  <si>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</si>
  <si>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</si>
  <si>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</si>
  <si>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</si>
  <si>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</si>
  <si>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</si>
  <si>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</si>
  <si>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</si>
  <si>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</si>
  <si>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</si>
  <si>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</si>
  <si>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</si>
  <si>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</si>
  <si>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</si>
  <si>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</si>
  <si>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</si>
  <si>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</si>
  <si>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</si>
  <si>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</si>
  <si>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</si>
  <si>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</si>
  <si>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</si>
  <si>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</si>
  <si>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</si>
  <si>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</si>
  <si>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</si>
  <si>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</si>
  <si>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</si>
  <si>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</si>
  <si>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</si>
  <si>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</si>
  <si>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</si>
  <si>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</si>
  <si>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</si>
  <si>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</si>
  <si>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</si>
  <si>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</si>
  <si>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</si>
  <si>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</si>
  <si>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</si>
  <si>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</si>
  <si>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</si>
  <si>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</si>
  <si>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</si>
  <si>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</si>
  <si>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</si>
  <si>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</si>
  <si>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</si>
  <si>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</si>
  <si>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</si>
  <si>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</si>
  <si>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</si>
  <si>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</si>
  <si>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</si>
  <si>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</si>
  <si>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</si>
  <si>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</si>
  <si>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</si>
  <si>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</si>
  <si>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</si>
  <si>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</si>
  <si>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</si>
  <si>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</si>
  <si>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</si>
  <si>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</si>
  <si>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</si>
  <si>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</si>
  <si>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</si>
  <si>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</si>
  <si>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</si>
  <si>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</si>
  <si>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</si>
  <si>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</si>
  <si>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</si>
  <si>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</si>
  <si>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</si>
  <si>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</si>
  <si>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</si>
  <si>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</si>
  <si>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</si>
  <si>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</si>
  <si>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</si>
  <si>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</si>
  <si>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</si>
  <si>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</si>
  <si>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</si>
  <si>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</si>
  <si>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</si>
  <si>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</si>
  <si>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</si>
  <si>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</si>
  <si>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</si>
  <si>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</si>
  <si>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</si>
  <si>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</si>
  <si>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</si>
  <si>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</si>
  <si>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</si>
  <si>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</si>
  <si>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</si>
  <si>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</si>
  <si>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</si>
  <si>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</si>
  <si>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</si>
  <si>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</si>
  <si>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</si>
  <si>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</si>
  <si>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</si>
  <si>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</si>
  <si>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</si>
  <si>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</si>
  <si>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</si>
  <si>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</si>
  <si>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</si>
  <si>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</si>
  <si>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</si>
  <si>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</si>
  <si>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</si>
  <si>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</si>
  <si>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</si>
  <si>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</si>
  <si>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</si>
  <si>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</si>
  <si>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</si>
  <si>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</si>
  <si>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</si>
  <si>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</si>
  <si>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</si>
  <si>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</si>
  <si>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</si>
  <si>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</si>
  <si>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</si>
  <si>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</si>
  <si>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</si>
  <si>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</si>
  <si>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</si>
  <si>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</si>
  <si>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</si>
  <si>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</si>
  <si>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</si>
  <si>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</si>
  <si>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</si>
  <si>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</si>
  <si>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</si>
  <si>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</si>
  <si>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</si>
  <si>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</si>
  <si>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</si>
  <si>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</si>
  <si>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</si>
  <si>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</si>
  <si>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</si>
  <si>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</si>
  <si>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</si>
  <si>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</si>
  <si>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</si>
  <si>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</si>
  <si>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</si>
  <si>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</si>
  <si>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</si>
  <si>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</si>
  <si>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</si>
  <si>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</si>
  <si>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</si>
  <si>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</si>
  <si>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</si>
  <si>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</si>
  <si>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</si>
  <si>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</si>
  <si>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</si>
  <si>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</si>
  <si>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</si>
  <si>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</si>
  <si>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</si>
  <si>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</si>
  <si>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</si>
  <si>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</si>
  <si>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</si>
  <si>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</si>
  <si>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</si>
  <si>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</si>
  <si>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</si>
  <si>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</si>
  <si>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</si>
  <si>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</si>
  <si>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</si>
  <si>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</si>
  <si>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</si>
  <si>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</si>
  <si>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</si>
  <si>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</si>
  <si>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</si>
  <si>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</si>
  <si>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</si>
  <si>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</si>
  <si>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</si>
  <si>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</si>
  <si>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</si>
  <si>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</si>
  <si>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</si>
  <si>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</si>
  <si>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</si>
  <si>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</si>
  <si>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</si>
  <si>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</si>
  <si>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</si>
  <si>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</si>
  <si>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</si>
  <si>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</si>
  <si>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</si>
  <si>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</si>
  <si>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</si>
  <si>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</si>
  <si>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</si>
  <si>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</si>
  <si>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</si>
  <si>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</si>
  <si>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</si>
  <si>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</si>
  <si>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</si>
  <si>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</si>
  <si>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</si>
  <si>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</si>
  <si>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</si>
  <si>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</si>
  <si>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</si>
  <si>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</si>
  <si>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</si>
  <si>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</si>
  <si>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</si>
  <si>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</si>
  <si>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</si>
  <si>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</si>
  <si>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</si>
  <si>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</si>
  <si>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</si>
  <si>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</si>
  <si>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</si>
  <si>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</si>
  <si>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</si>
  <si>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</si>
  <si>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</si>
  <si>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</si>
  <si>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</si>
  <si>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</si>
  <si>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</si>
  <si>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</si>
  <si>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</si>
  <si>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</si>
  <si>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</si>
  <si>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</si>
  <si>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</si>
  <si>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</si>
  <si>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</si>
  <si>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</si>
  <si>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</si>
  <si>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</si>
  <si>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</si>
  <si>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</si>
  <si>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</si>
  <si>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</si>
  <si>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</si>
  <si>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</si>
  <si>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</si>
  <si>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</si>
  <si>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</si>
  <si>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</si>
  <si>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</si>
  <si>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</si>
  <si>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</si>
  <si>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</si>
  <si>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</si>
  <si>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</si>
  <si>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</si>
  <si>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</si>
  <si>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</si>
  <si>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</si>
  <si>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</si>
  <si>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</si>
  <si>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</si>
  <si>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</si>
  <si>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</si>
  <si>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</si>
  <si>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</si>
  <si>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</si>
  <si>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</si>
  <si>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</si>
  <si>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</si>
  <si>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</si>
  <si>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</si>
  <si>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</si>
  <si>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</si>
  <si>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</si>
  <si>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</si>
  <si>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</si>
  <si>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</si>
  <si>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</si>
  <si>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</si>
  <si>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</si>
  <si>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</si>
  <si>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</si>
  <si>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</si>
  <si>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</si>
  <si>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</si>
  <si>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</si>
  <si>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</si>
  <si>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</si>
  <si>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</si>
  <si>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</si>
  <si>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</si>
  <si>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</si>
  <si>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</si>
  <si>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</si>
  <si>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</si>
  <si>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</si>
  <si>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</si>
  <si>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</si>
  <si>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</si>
  <si>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</si>
  <si>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</si>
  <si>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</si>
  <si>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</si>
  <si>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</si>
  <si>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</si>
  <si>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</si>
  <si>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</si>
  <si>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</si>
  <si>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</si>
  <si>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</si>
  <si>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</si>
  <si>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</si>
  <si>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</si>
  <si>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</si>
  <si>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</si>
  <si>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</si>
  <si>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</si>
  <si>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</si>
  <si>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</si>
  <si>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</si>
  <si>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</si>
  <si>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</si>
  <si>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</si>
  <si>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</si>
  <si>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</si>
  <si>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</si>
  <si>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</si>
  <si>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</si>
  <si>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</si>
  <si>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</si>
  <si>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</si>
  <si>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</si>
  <si>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</si>
  <si>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</si>
  <si>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</si>
  <si>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</si>
  <si>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</si>
  <si>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</si>
  <si>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</si>
  <si>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</si>
  <si>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</si>
  <si>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</si>
  <si>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</si>
  <si>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</si>
  <si>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</si>
  <si>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</si>
  <si>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</si>
  <si>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</si>
  <si>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</si>
  <si>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</si>
  <si>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</si>
  <si>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</si>
  <si>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</si>
  <si>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</si>
  <si>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</si>
  <si>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</si>
  <si>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</si>
  <si>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</si>
  <si>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</si>
  <si>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</si>
  <si>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</si>
  <si>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</si>
  <si>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</si>
  <si>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</si>
  <si>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</si>
  <si>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</si>
  <si>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</si>
  <si>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</si>
  <si>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</si>
  <si>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</si>
  <si>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</si>
  <si>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</si>
  <si>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</si>
  <si>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</si>
  <si>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</si>
  <si>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</si>
  <si>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</si>
  <si>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</si>
  <si>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</si>
  <si>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</si>
  <si>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</si>
  <si>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</si>
  <si>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</si>
  <si>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</si>
  <si>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</si>
  <si>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</si>
  <si>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</si>
  <si>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</si>
  <si>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</si>
  <si>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</si>
  <si>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</si>
  <si>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</si>
  <si>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</si>
  <si>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</si>
  <si>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</si>
  <si>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</si>
  <si>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</si>
  <si>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</si>
  <si>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</si>
  <si>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</si>
  <si>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</si>
  <si>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</si>
  <si>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</si>
  <si>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</si>
  <si>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</si>
  <si>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</si>
  <si>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</si>
  <si>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</si>
  <si>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</si>
  <si>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</si>
  <si>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</si>
  <si>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</si>
  <si>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</si>
  <si>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</si>
  <si>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</si>
  <si>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</si>
  <si>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</si>
  <si>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</si>
  <si>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</si>
  <si>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</si>
  <si>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</si>
  <si>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</si>
  <si>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</si>
  <si>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</si>
  <si>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</si>
  <si>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</si>
  <si>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</si>
  <si>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</si>
  <si>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</si>
  <si>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</si>
  <si>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</si>
  <si>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</si>
  <si>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</si>
  <si>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</si>
  <si>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</si>
  <si>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</si>
  <si>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</si>
  <si>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</si>
  <si>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</si>
  <si>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</si>
  <si>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</si>
  <si>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</si>
  <si>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</si>
  <si>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</si>
  <si>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</si>
  <si>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</si>
  <si>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</si>
  <si>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</si>
  <si>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</si>
  <si>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</si>
  <si>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</si>
  <si>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</si>
  <si>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</si>
  <si>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</si>
  <si>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</si>
  <si>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</si>
  <si>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</si>
  <si>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</si>
  <si>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</si>
  <si>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</si>
  <si>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</si>
  <si>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</si>
  <si>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</si>
  <si>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</si>
  <si>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</si>
  <si>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</si>
  <si>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</si>
  <si>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</si>
  <si>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</si>
  <si>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</si>
  <si>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</si>
  <si>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</si>
  <si>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</si>
  <si>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</si>
  <si>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</si>
  <si>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</si>
  <si>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</si>
  <si>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</si>
  <si>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</si>
  <si>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</si>
  <si>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</si>
  <si>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</si>
  <si>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</si>
  <si>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</si>
  <si>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</si>
  <si>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</si>
  <si>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</si>
  <si>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</si>
  <si>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</si>
  <si>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</si>
  <si>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</si>
  <si>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</si>
  <si>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</si>
  <si>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</si>
  <si>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</si>
  <si>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</si>
  <si>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</si>
  <si>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</si>
  <si>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</si>
  <si>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</si>
  <si>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</si>
  <si>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</si>
  <si>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</si>
  <si>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</si>
  <si>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</si>
  <si>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</si>
  <si>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</si>
  <si>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</si>
  <si>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</si>
  <si>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</si>
  <si>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</si>
  <si>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</si>
  <si>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</si>
  <si>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</si>
  <si>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</si>
  <si>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</si>
  <si>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</si>
  <si>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</si>
  <si>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</si>
  <si>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</si>
  <si>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</si>
  <si>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</si>
  <si>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</si>
  <si>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</si>
  <si>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</si>
  <si>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</si>
  <si>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</si>
  <si>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</si>
  <si>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</si>
  <si>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</si>
  <si>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</si>
  <si>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</si>
  <si>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</si>
  <si>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</si>
  <si>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</si>
  <si>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</si>
  <si>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</si>
  <si>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</si>
  <si>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</si>
  <si>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</si>
  <si>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</si>
  <si>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</si>
  <si>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</si>
  <si>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</si>
  <si>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</si>
  <si>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</si>
  <si>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</si>
  <si>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</si>
  <si>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</si>
  <si>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</si>
  <si>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</si>
  <si>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</si>
  <si>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</si>
  <si>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</si>
  <si>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</si>
  <si>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</si>
  <si>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</si>
  <si>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</si>
  <si>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</si>
  <si>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</si>
  <si>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</si>
  <si>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</si>
  <si>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</si>
  <si>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</si>
  <si>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</si>
  <si>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</si>
  <si>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</si>
  <si>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</si>
  <si>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</si>
  <si>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</si>
  <si>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</si>
  <si>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</si>
  <si>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</si>
  <si>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</si>
  <si>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</si>
  <si>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</si>
  <si>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</si>
  <si>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</si>
  <si>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</si>
  <si>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</si>
  <si>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</si>
  <si>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</si>
  <si>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</si>
  <si>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</si>
  <si>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</si>
  <si>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</si>
  <si>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</si>
  <si>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</si>
  <si>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</si>
  <si>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</si>
  <si>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</si>
  <si>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</si>
  <si>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</si>
  <si>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</si>
  <si>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</si>
  <si>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</si>
  <si>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</si>
  <si>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</si>
  <si>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</si>
  <si>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</si>
  <si>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</si>
  <si>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</si>
  <si>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</si>
  <si>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</si>
  <si>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</si>
  <si>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</si>
  <si>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</si>
  <si>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</si>
  <si>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</si>
  <si>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</si>
  <si>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</si>
  <si>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</si>
  <si>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</si>
  <si>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</si>
  <si>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</si>
  <si>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</si>
  <si>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</si>
  <si>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</si>
  <si>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</si>
  <si>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</si>
  <si>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</si>
  <si>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</si>
  <si>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</si>
  <si>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</si>
  <si>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</si>
  <si>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</si>
  <si>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</si>
  <si>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</si>
  <si>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</si>
  <si>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</si>
  <si>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</si>
  <si>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</si>
  <si>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</si>
  <si>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</si>
  <si>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</si>
  <si>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</si>
  <si>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</si>
  <si>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</si>
  <si>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</si>
  <si>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</si>
  <si>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</si>
  <si>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</si>
  <si>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</si>
  <si>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</si>
  <si>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</si>
  <si>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</si>
  <si>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</si>
  <si>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</si>
  <si>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</si>
  <si>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</si>
  <si>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</si>
  <si>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</si>
  <si>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</si>
  <si>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</si>
  <si>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</si>
  <si>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</si>
  <si>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</si>
  <si>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</si>
  <si>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</si>
  <si>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</si>
  <si>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</si>
  <si>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</si>
  <si>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</si>
  <si>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</si>
  <si>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</si>
  <si>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</si>
  <si>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</si>
  <si>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</si>
  <si>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</si>
  <si>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</si>
  <si>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</si>
  <si>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</si>
  <si>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</si>
  <si>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</si>
  <si>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</si>
  <si>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</si>
  <si>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</si>
  <si>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</si>
  <si>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</si>
  <si>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</si>
  <si>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</si>
  <si>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</si>
  <si>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</si>
  <si>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</si>
  <si>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</si>
  <si>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</si>
  <si>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</si>
  <si>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</si>
  <si>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</si>
  <si>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</si>
  <si>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</si>
  <si>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</si>
  <si>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</si>
  <si>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</si>
  <si>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</si>
  <si>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</si>
  <si>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</si>
  <si>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</si>
  <si>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</si>
  <si>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</si>
  <si>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</si>
  <si>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</si>
  <si>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</si>
  <si>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</si>
  <si>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</si>
  <si>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</si>
  <si>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</si>
  <si>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</si>
  <si>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</si>
  <si>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</si>
  <si>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</si>
  <si>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</si>
  <si>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</si>
  <si>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</si>
  <si>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</si>
  <si>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</si>
  <si>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</si>
  <si>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</si>
  <si>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</si>
  <si>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</si>
  <si>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</si>
  <si>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</si>
  <si>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</si>
  <si>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</si>
  <si>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</si>
  <si>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</si>
  <si>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</si>
  <si>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</si>
  <si>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</si>
  <si>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</si>
  <si>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</si>
  <si>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</si>
  <si>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</si>
  <si>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</si>
  <si>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</si>
  <si>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</si>
  <si>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</si>
  <si>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</si>
  <si>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</si>
  <si>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</si>
  <si>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</si>
  <si>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</si>
  <si>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</si>
  <si>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</si>
  <si>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</si>
  <si>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</si>
  <si>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</si>
  <si>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</si>
  <si>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</si>
  <si>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</si>
  <si>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</si>
  <si>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</si>
  <si>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</si>
  <si>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</si>
  <si>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</si>
  <si>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</si>
  <si>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</si>
  <si>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</si>
  <si>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</si>
  <si>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</si>
  <si>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</si>
  <si>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</si>
  <si>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</si>
  <si>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</si>
  <si>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</si>
  <si>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</si>
  <si>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</si>
  <si>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</si>
  <si>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</si>
  <si>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</si>
  <si>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</si>
  <si>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</si>
  <si>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</si>
  <si>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</si>
  <si>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</si>
  <si>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</si>
  <si>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</si>
  <si>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</si>
  <si>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</si>
  <si>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</si>
  <si>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</si>
  <si>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</si>
  <si>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</si>
  <si>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</si>
  <si>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</si>
  <si>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</si>
  <si>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</si>
  <si>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</si>
  <si>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</si>
  <si>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</si>
  <si>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</si>
  <si>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</si>
  <si>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</si>
  <si>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</si>
  <si>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</si>
  <si>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</si>
  <si>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</si>
  <si>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</si>
  <si>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</si>
  <si>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</si>
  <si>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</si>
  <si>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</si>
  <si>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</si>
  <si>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</si>
  <si>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</si>
  <si>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</si>
  <si>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</si>
  <si>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</si>
  <si>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</si>
  <si>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</si>
  <si>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</si>
  <si>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</si>
  <si>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</si>
  <si>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</si>
  <si>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</si>
  <si>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</si>
  <si>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</si>
  <si>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</si>
  <si>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</si>
  <si>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</si>
  <si>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</si>
  <si>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</si>
  <si>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</si>
  <si>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</si>
  <si>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</si>
  <si>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</si>
  <si>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</si>
  <si>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</si>
  <si>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</si>
  <si>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</si>
  <si>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</si>
  <si>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</si>
  <si>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</si>
  <si>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</si>
  <si>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</si>
  <si>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</si>
  <si>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</si>
  <si>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</si>
  <si>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</si>
  <si>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</si>
  <si>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</si>
  <si>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</si>
  <si>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</si>
  <si>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</si>
  <si>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</si>
  <si>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</si>
  <si>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</si>
  <si>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</si>
  <si>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</si>
  <si>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</si>
  <si>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</si>
  <si>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</si>
  <si>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</si>
  <si>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</si>
  <si>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</si>
  <si>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</si>
  <si>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</si>
  <si>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</si>
  <si>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</si>
  <si>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</si>
  <si>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</si>
  <si>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</si>
  <si>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</si>
  <si>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</si>
  <si>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</si>
  <si>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</si>
  <si>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</si>
  <si>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</si>
  <si>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</si>
  <si>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</si>
  <si>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</si>
  <si>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</si>
  <si>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</si>
  <si>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</si>
  <si>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</si>
  <si>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</si>
  <si>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</si>
  <si>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</si>
  <si>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</si>
  <si>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</si>
  <si>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</si>
  <si>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</si>
  <si>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</si>
  <si>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</si>
  <si>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</si>
  <si>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</si>
  <si>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</si>
  <si>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</si>
  <si>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</si>
  <si>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</si>
  <si>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</si>
  <si>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</si>
  <si>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</si>
  <si>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</si>
  <si>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</si>
  <si>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</si>
  <si>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</si>
  <si>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</si>
  <si>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</si>
  <si>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</si>
  <si>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</si>
  <si>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</si>
  <si>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</si>
  <si>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</si>
  <si>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</si>
  <si>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</si>
  <si>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</si>
  <si>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</si>
  <si>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</si>
  <si>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</si>
  <si>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</si>
  <si>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</si>
  <si>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</si>
  <si>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</si>
  <si>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</si>
  <si>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</si>
  <si>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</si>
  <si>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</si>
  <si>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</si>
  <si>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</si>
  <si>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</si>
  <si>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</si>
  <si>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</si>
  <si>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</si>
  <si>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</si>
  <si>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</si>
  <si>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</si>
  <si>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</si>
  <si>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</si>
  <si>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</si>
  <si>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</si>
  <si>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</si>
  <si>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</si>
  <si>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</si>
  <si>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</si>
  <si>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</si>
  <si>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</si>
  <si>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</si>
  <si>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Lauterbach &amp; Amen, LLP</t>
  </si>
  <si>
    <t>Matt Beran</t>
  </si>
  <si>
    <t>668 N. River Road</t>
  </si>
  <si>
    <t>Naperville</t>
  </si>
  <si>
    <t>IL</t>
  </si>
  <si>
    <t>X</t>
  </si>
  <si>
    <t>KANE</t>
  </si>
  <si>
    <t>47W326 KESLINGER ROAD</t>
  </si>
  <si>
    <t>MAPLE PARK</t>
  </si>
  <si>
    <t>10161@kaneland.org</t>
  </si>
  <si>
    <t>DR. TODD LEDEN</t>
  </si>
  <si>
    <t>TODD.LEDEN@KANELAND.ORG</t>
  </si>
  <si>
    <t>630-365-5100</t>
  </si>
  <si>
    <t>630-365-8421</t>
  </si>
  <si>
    <t>O&amp;M - SUPPORT - OTHER</t>
  </si>
  <si>
    <t>20-2000-300</t>
  </si>
  <si>
    <t>GCA SERVICES GROUP</t>
  </si>
  <si>
    <t>REVENUES 9-14 (Line 84): $5,500 from Fire Science Laboratory Rentals</t>
  </si>
  <si>
    <t>REVENUES 9-14 (Line 107): $2,215 from Miscellaneous Revenues</t>
  </si>
  <si>
    <t>EXPENDITURES 15-22 (Line 73): $14,346 from Copier Lease Payment</t>
  </si>
  <si>
    <t>AUDITCHECK: No On-Behalf payments required for Joint Venture</t>
  </si>
  <si>
    <t>N/A</t>
  </si>
  <si>
    <t>Kaneland CUSD #302</t>
  </si>
  <si>
    <t>Elgin &amp; Waubonsee Community Colleges</t>
  </si>
  <si>
    <t>Fox Valley Career Center</t>
  </si>
  <si>
    <t>065-033233</t>
  </si>
  <si>
    <t>mberan@lauterbachamen.com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</si>
</sst>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329045</xdr:colOff>
          <xdr:row>3</xdr:row>
          <xdr:rowOff>25977</xdr:rowOff>
        </xdr:from>
        <xdr:to>
          <xdr:col>1</xdr:col>
          <xdr:colOff>1240847</xdr:colOff>
          <xdr:row>7</xdr:row>
          <xdr:rowOff>64077</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AFB55CF9-4326-46F6-B65B-34F4EF9A6F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1342159</xdr:colOff>
          <xdr:row>3</xdr:row>
          <xdr:rowOff>17319</xdr:rowOff>
        </xdr:from>
        <xdr:to>
          <xdr:col>1</xdr:col>
          <xdr:colOff>2253961</xdr:colOff>
          <xdr:row>7</xdr:row>
          <xdr:rowOff>55419</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CE14A763-4D9F-487B-98F6-F7D0E2CEE35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2918114</xdr:colOff>
          <xdr:row>3</xdr:row>
          <xdr:rowOff>69273</xdr:rowOff>
        </xdr:from>
        <xdr:to>
          <xdr:col>1</xdr:col>
          <xdr:colOff>3829916</xdr:colOff>
          <xdr:row>8</xdr:row>
          <xdr:rowOff>28575</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77932</xdr:colOff>
          <xdr:row>3</xdr:row>
          <xdr:rowOff>77932</xdr:rowOff>
        </xdr:from>
        <xdr:to>
          <xdr:col>3</xdr:col>
          <xdr:colOff>382733</xdr:colOff>
          <xdr:row>8</xdr:row>
          <xdr:rowOff>37234</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c r="C5" s="26" t="s">
        <v>966</v>
      </c>
      <c r="D5" s="84"/>
      <c r="E5" s="84"/>
      <c r="H5" s="38"/>
      <c r="I5" s="2008" t="s">
        <v>701</v>
      </c>
      <c r="J5" s="2007"/>
      <c r="K5" s="2007"/>
      <c r="L5" s="2007"/>
      <c r="M5" s="2007"/>
      <c r="N5" s="2007"/>
      <c r="O5" s="2007"/>
      <c r="P5" s="2007"/>
      <c r="Q5" s="2007"/>
      <c r="R5" s="2007"/>
      <c r="S5" s="2007"/>
    </row>
    <row r="6" spans="1:28" ht="14.1" customHeight="1" x14ac:dyDescent="0.2">
      <c r="B6" s="104" t="s">
        <v>2082</v>
      </c>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t="s">
        <v>2082</v>
      </c>
      <c r="P12" s="100" t="s">
        <v>211</v>
      </c>
      <c r="Q12" s="74"/>
      <c r="R12" s="30"/>
      <c r="S12" s="30"/>
      <c r="T12" s="85" t="s">
        <v>283</v>
      </c>
      <c r="U12" s="51"/>
      <c r="V12" s="51"/>
      <c r="W12" s="51"/>
      <c r="X12" s="51"/>
      <c r="Y12" s="45"/>
      <c r="Z12" s="45"/>
      <c r="AA12" s="46"/>
    </row>
    <row r="13" spans="1:28" ht="13.5" customHeight="1" x14ac:dyDescent="0.2">
      <c r="A13" s="2033">
        <v>31045302041</v>
      </c>
      <c r="B13" s="2034"/>
      <c r="C13" s="2034"/>
      <c r="D13" s="2034"/>
      <c r="E13" s="2034"/>
      <c r="F13" s="2034"/>
      <c r="G13" s="2034"/>
      <c r="H13" s="2035"/>
      <c r="I13" s="31"/>
      <c r="J13" s="30"/>
      <c r="K13" s="28"/>
      <c r="L13" s="30"/>
      <c r="M13" s="30"/>
      <c r="N13" s="30"/>
      <c r="O13" s="30"/>
      <c r="P13" s="30"/>
      <c r="Q13" s="30"/>
      <c r="R13" s="30"/>
      <c r="S13" s="30"/>
      <c r="T13" s="2038" t="s">
        <v>2077</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2083</v>
      </c>
      <c r="B15" s="2036"/>
      <c r="C15" s="2036"/>
      <c r="D15" s="2036"/>
      <c r="E15" s="2036"/>
      <c r="F15" s="2036"/>
      <c r="G15" s="2036"/>
      <c r="H15" s="2037"/>
      <c r="T15" s="2042" t="s">
        <v>2078</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2101</v>
      </c>
      <c r="B17" s="1993"/>
      <c r="C17" s="1993"/>
      <c r="D17" s="1993"/>
      <c r="E17" s="1993"/>
      <c r="F17" s="1993"/>
      <c r="G17" s="1993"/>
      <c r="H17" s="2018"/>
      <c r="T17" s="2049" t="s">
        <v>2079</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2084</v>
      </c>
      <c r="B19" s="1978"/>
      <c r="C19" s="1978"/>
      <c r="D19" s="1978"/>
      <c r="E19" s="1978"/>
      <c r="F19" s="1978"/>
      <c r="G19" s="1978"/>
      <c r="H19" s="1958"/>
      <c r="I19" s="30"/>
      <c r="J19" s="99"/>
      <c r="K19" s="40"/>
      <c r="L19" s="38"/>
      <c r="M19" s="112" t="s">
        <v>333</v>
      </c>
      <c r="P19" s="27"/>
      <c r="Q19" s="27"/>
      <c r="R19" s="27"/>
      <c r="S19" s="31"/>
      <c r="T19" s="2032" t="s">
        <v>2080</v>
      </c>
      <c r="U19" s="1957"/>
      <c r="V19" s="1957"/>
      <c r="W19" s="1958"/>
      <c r="X19" s="2047" t="s">
        <v>2081</v>
      </c>
      <c r="Y19" s="2048"/>
      <c r="Z19" s="2045">
        <v>60563</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2085</v>
      </c>
      <c r="B21" s="1957"/>
      <c r="C21" s="1957"/>
      <c r="D21" s="1957"/>
      <c r="E21" s="1957"/>
      <c r="F21" s="1957"/>
      <c r="G21" s="1957"/>
      <c r="H21" s="1958"/>
      <c r="I21" s="2012" t="s">
        <v>699</v>
      </c>
      <c r="J21" s="2007"/>
      <c r="K21" s="2007"/>
      <c r="L21" s="2007"/>
      <c r="M21" s="2007"/>
      <c r="N21" s="2007"/>
      <c r="O21" s="2007"/>
      <c r="P21" s="2007"/>
      <c r="Q21" s="2007"/>
      <c r="R21" s="2007"/>
      <c r="S21" s="2013"/>
      <c r="T21" s="2056">
        <v>6303931483</v>
      </c>
      <c r="U21" s="2057"/>
      <c r="V21" s="2057"/>
      <c r="W21" s="2057"/>
      <c r="X21" s="2062">
        <v>6303932516</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2086</v>
      </c>
      <c r="B23" s="2010"/>
      <c r="C23" s="2010"/>
      <c r="D23" s="2010"/>
      <c r="E23" s="2010"/>
      <c r="F23" s="2010"/>
      <c r="G23" s="2010"/>
      <c r="H23" s="2011"/>
      <c r="T23" s="1992" t="s">
        <v>2102</v>
      </c>
      <c r="U23" s="2055"/>
      <c r="V23" s="2055"/>
      <c r="W23" s="2055"/>
      <c r="X23" s="2059">
        <v>44469</v>
      </c>
      <c r="Y23" s="2060"/>
      <c r="Z23" s="2060"/>
      <c r="AA23" s="2061"/>
    </row>
    <row r="24" spans="1:27" ht="14.1" customHeight="1" x14ac:dyDescent="0.2">
      <c r="A24" s="88" t="s">
        <v>698</v>
      </c>
      <c r="B24" s="49"/>
      <c r="C24" s="49"/>
      <c r="D24" s="49"/>
      <c r="E24" s="49"/>
      <c r="F24" s="49"/>
      <c r="G24" s="49"/>
      <c r="H24" s="61"/>
      <c r="J24" s="1979" t="str">
        <f>IF(B5="x",IF(AUDITCHECK!D29="AFR form Incomplete.","",IF(AUDITCHECK!D29="Deficit reduction plan is required.","School District must complete a deficit reduction plan in the 2018-2019 Budget",)),"")</f>
        <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60151</v>
      </c>
      <c r="B25" s="1957"/>
      <c r="C25" s="1957"/>
      <c r="D25" s="1957"/>
      <c r="E25" s="1957"/>
      <c r="F25" s="1957"/>
      <c r="G25" s="1957"/>
      <c r="H25" s="1958"/>
      <c r="I25" s="113"/>
      <c r="J25" s="1981"/>
      <c r="K25" s="1981"/>
      <c r="L25" s="1981"/>
      <c r="M25" s="1981"/>
      <c r="N25" s="1981"/>
      <c r="O25" s="1981"/>
      <c r="P25" s="1981"/>
      <c r="Q25" s="1981"/>
      <c r="R25" s="1981"/>
      <c r="S25" s="1982"/>
      <c r="T25" s="2052" t="s">
        <v>2103</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2082</v>
      </c>
      <c r="F29" s="141" t="s">
        <v>1383</v>
      </c>
      <c r="G29" s="114"/>
      <c r="I29" s="54"/>
      <c r="J29" s="148"/>
      <c r="K29" s="28" t="s">
        <v>597</v>
      </c>
      <c r="L29" s="102" t="s">
        <v>2082</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c r="K30" s="28" t="s">
        <v>597</v>
      </c>
      <c r="L30" s="102" t="s">
        <v>2082</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2087</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2088</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t="s">
        <v>2089</v>
      </c>
      <c r="B42" s="1976"/>
      <c r="C42" s="1977"/>
      <c r="D42" s="1975" t="s">
        <v>2090</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28" sqref="F2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8" t="s">
        <v>1905</v>
      </c>
      <c r="B2" s="1550" t="s">
        <v>2037</v>
      </c>
      <c r="C2" s="715" t="s">
        <v>1910</v>
      </c>
      <c r="D2" s="715" t="s">
        <v>1911</v>
      </c>
      <c r="E2" s="715" t="s">
        <v>1912</v>
      </c>
      <c r="F2" s="715" t="s">
        <v>1913</v>
      </c>
    </row>
    <row r="3" spans="1:6" ht="12" customHeight="1" x14ac:dyDescent="0.2">
      <c r="A3" s="2199"/>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2"/>
    </row>
    <row r="2" spans="1:7" ht="33.75" x14ac:dyDescent="0.2">
      <c r="A2" s="2225" t="s">
        <v>1905</v>
      </c>
      <c r="B2" s="2226"/>
      <c r="C2" s="1909" t="s">
        <v>2038</v>
      </c>
      <c r="D2" s="724" t="s">
        <v>2045</v>
      </c>
      <c r="E2" s="724" t="s">
        <v>2046</v>
      </c>
      <c r="F2" s="1909" t="s">
        <v>2039</v>
      </c>
    </row>
    <row r="3" spans="1:7" ht="15.75" customHeight="1" x14ac:dyDescent="0.2">
      <c r="A3" s="2227" t="s">
        <v>1176</v>
      </c>
      <c r="B3" s="2228"/>
      <c r="C3" s="2221"/>
      <c r="D3" s="2222"/>
      <c r="E3" s="2222"/>
      <c r="F3" s="2223"/>
    </row>
    <row r="4" spans="1:7" ht="12.75" customHeight="1" thickBot="1" x14ac:dyDescent="0.25">
      <c r="A4" s="2215" t="s">
        <v>651</v>
      </c>
      <c r="B4" s="2216"/>
      <c r="C4" s="581"/>
      <c r="D4" s="581"/>
      <c r="E4" s="581"/>
      <c r="F4" s="1777">
        <f>SUM(C4+D4)-E4</f>
        <v>0</v>
      </c>
    </row>
    <row r="5" spans="1:7" ht="15.75" customHeight="1" thickTop="1" x14ac:dyDescent="0.2">
      <c r="A5" s="2219" t="s">
        <v>1172</v>
      </c>
      <c r="B5" s="2214"/>
      <c r="C5" s="2208"/>
      <c r="D5" s="2209"/>
      <c r="E5" s="2209"/>
      <c r="F5" s="221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1" t="s">
        <v>652</v>
      </c>
      <c r="B15" s="2212"/>
      <c r="C15" s="1777">
        <f>SUM(C6:C14)</f>
        <v>0</v>
      </c>
      <c r="D15" s="1777">
        <f>SUM(D6:D14)</f>
        <v>0</v>
      </c>
      <c r="E15" s="1777">
        <f>SUM(E6:E14)</f>
        <v>0</v>
      </c>
      <c r="F15" s="1777">
        <f>SUM(F6:F14)</f>
        <v>0</v>
      </c>
      <c r="G15" s="552"/>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7"/>
      <c r="D17" s="585"/>
      <c r="E17" s="727"/>
      <c r="F17" s="1777">
        <f>SUM(C17+D17)-E17</f>
        <v>0</v>
      </c>
    </row>
    <row r="18" spans="1:11" ht="12.75" customHeight="1" thickTop="1" thickBot="1" x14ac:dyDescent="0.25">
      <c r="A18" s="2206" t="s">
        <v>6</v>
      </c>
      <c r="B18" s="2207"/>
      <c r="C18" s="727"/>
      <c r="D18" s="585"/>
      <c r="E18" s="727"/>
      <c r="F18" s="1777">
        <f>SUM(C18+D18)-E18</f>
        <v>0</v>
      </c>
    </row>
    <row r="19" spans="1:11" ht="12.75" customHeight="1" thickTop="1" thickBot="1" x14ac:dyDescent="0.25">
      <c r="A19" s="2206" t="s">
        <v>406</v>
      </c>
      <c r="B19" s="2207"/>
      <c r="C19" s="727"/>
      <c r="D19" s="585"/>
      <c r="E19" s="727"/>
      <c r="F19" s="1777">
        <f>SUM(C19+D19)-E19</f>
        <v>0</v>
      </c>
    </row>
    <row r="20" spans="1:11" ht="12.75" customHeight="1" thickTop="1" thickBot="1" x14ac:dyDescent="0.25">
      <c r="A20" s="2206" t="s">
        <v>468</v>
      </c>
      <c r="B20" s="2207"/>
      <c r="C20" s="727"/>
      <c r="D20" s="585"/>
      <c r="E20" s="727"/>
      <c r="F20" s="1777">
        <f>SUM(C20+D20)-E20</f>
        <v>0</v>
      </c>
    </row>
    <row r="21" spans="1:11" ht="14.25" thickTop="1" thickBot="1" x14ac:dyDescent="0.25">
      <c r="A21" s="2211" t="s">
        <v>653</v>
      </c>
      <c r="B21" s="2212"/>
      <c r="C21" s="1777">
        <f>SUM(C17:C20)</f>
        <v>0</v>
      </c>
      <c r="D21" s="1777">
        <f>SUM(D17:D20)</f>
        <v>0</v>
      </c>
      <c r="E21" s="1777">
        <f>SUM(E17:E20)</f>
        <v>0</v>
      </c>
      <c r="F21" s="1777">
        <f>SUM(F17:F20)</f>
        <v>0</v>
      </c>
      <c r="G21" s="552"/>
    </row>
    <row r="22" spans="1:11" ht="15.75" customHeight="1" thickTop="1" x14ac:dyDescent="0.2">
      <c r="A22" s="2213" t="s">
        <v>1174</v>
      </c>
      <c r="B22" s="2214"/>
      <c r="C22" s="2208"/>
      <c r="D22" s="2209"/>
      <c r="E22" s="2209"/>
      <c r="F22" s="2210"/>
    </row>
    <row r="23" spans="1:11" ht="13.5" thickBot="1" x14ac:dyDescent="0.25">
      <c r="A23" s="2215" t="s">
        <v>654</v>
      </c>
      <c r="B23" s="2216"/>
      <c r="C23" s="581"/>
      <c r="D23" s="581"/>
      <c r="E23" s="581"/>
      <c r="F23" s="1777">
        <f>SUM(C23+D23)-E23</f>
        <v>0</v>
      </c>
      <c r="G23" s="552"/>
    </row>
    <row r="24" spans="1:11" ht="15.75" customHeight="1" thickTop="1" x14ac:dyDescent="0.2">
      <c r="A24" s="2213" t="s">
        <v>1175</v>
      </c>
      <c r="B24" s="2214"/>
      <c r="C24" s="2208"/>
      <c r="D24" s="2209"/>
      <c r="E24" s="2209"/>
      <c r="F24" s="2210"/>
    </row>
    <row r="25" spans="1:11" ht="13.5" thickBot="1" x14ac:dyDescent="0.25">
      <c r="A25" s="2215" t="s">
        <v>655</v>
      </c>
      <c r="B25" s="2216"/>
      <c r="C25" s="581"/>
      <c r="D25" s="581"/>
      <c r="E25" s="581"/>
      <c r="F25" s="1777">
        <f>SUM(C25+D25)-E25</f>
        <v>0</v>
      </c>
      <c r="G25" s="552"/>
    </row>
    <row r="26" spans="1:11" ht="15.75" customHeight="1" thickTop="1" x14ac:dyDescent="0.2">
      <c r="A26" s="2219" t="s">
        <v>678</v>
      </c>
      <c r="B26" s="2214"/>
      <c r="C26" s="728"/>
      <c r="D26" s="728"/>
      <c r="E26" s="728"/>
      <c r="F26" s="729"/>
    </row>
    <row r="27" spans="1:11" ht="13.5" thickBot="1" x14ac:dyDescent="0.25">
      <c r="A27" s="2211" t="s">
        <v>1130</v>
      </c>
      <c r="B27" s="2212"/>
      <c r="C27" s="585"/>
      <c r="D27" s="585"/>
      <c r="E27" s="585"/>
      <c r="F27" s="1777">
        <f>SUM(C27+D27)-E27</f>
        <v>0</v>
      </c>
      <c r="G27" s="552"/>
    </row>
    <row r="28" spans="1:11" ht="7.5" customHeight="1" thickTop="1" x14ac:dyDescent="0.2">
      <c r="A28" s="594"/>
    </row>
    <row r="29" spans="1:11" ht="23.25" customHeight="1" x14ac:dyDescent="0.2">
      <c r="A29" s="2217" t="s">
        <v>603</v>
      </c>
      <c r="B29" s="221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0" t="s">
        <v>605</v>
      </c>
      <c r="C52" s="2201"/>
      <c r="D52" s="2201"/>
      <c r="E52" s="750" t="s">
        <v>900</v>
      </c>
      <c r="F52" s="2202"/>
      <c r="G52" s="2203"/>
      <c r="H52" s="737"/>
      <c r="I52" s="737"/>
      <c r="J52" s="747"/>
    </row>
    <row r="53" spans="1:11" ht="11.25" customHeight="1" x14ac:dyDescent="0.2">
      <c r="A53" s="751" t="s">
        <v>969</v>
      </c>
      <c r="B53" s="752" t="s">
        <v>1008</v>
      </c>
      <c r="C53" s="747"/>
      <c r="D53" s="738"/>
      <c r="E53" s="750" t="s">
        <v>518</v>
      </c>
      <c r="F53" s="2204"/>
      <c r="G53" s="2205"/>
      <c r="H53" s="737"/>
      <c r="I53" s="737"/>
      <c r="J53" s="747"/>
    </row>
    <row r="54" spans="1:11" ht="11.25" customHeight="1" x14ac:dyDescent="0.2">
      <c r="A54" s="753" t="s">
        <v>970</v>
      </c>
      <c r="B54" s="748" t="s">
        <v>1009</v>
      </c>
      <c r="C54" s="747"/>
      <c r="D54" s="738"/>
      <c r="E54" s="750" t="s">
        <v>519</v>
      </c>
      <c r="F54" s="2204"/>
      <c r="G54" s="220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2"/>
      <c r="I1" s="761"/>
      <c r="J1" s="433"/>
    </row>
    <row r="2" spans="1:11" ht="26.25" x14ac:dyDescent="0.2">
      <c r="A2" s="2248" t="s">
        <v>1776</v>
      </c>
      <c r="B2" s="2249"/>
      <c r="C2" s="2249"/>
      <c r="D2" s="2249"/>
      <c r="E2" s="2250"/>
      <c r="F2" s="762" t="s">
        <v>960</v>
      </c>
      <c r="G2" s="763" t="s">
        <v>1773</v>
      </c>
      <c r="H2" s="763" t="s">
        <v>430</v>
      </c>
      <c r="I2" s="763" t="s">
        <v>1220</v>
      </c>
      <c r="J2" s="763" t="s">
        <v>1919</v>
      </c>
      <c r="K2" s="763" t="s">
        <v>140</v>
      </c>
    </row>
    <row r="3" spans="1:11" x14ac:dyDescent="0.2">
      <c r="A3" s="2251" t="s">
        <v>1698</v>
      </c>
      <c r="B3" s="2252"/>
      <c r="C3" s="2252"/>
      <c r="D3" s="2252"/>
      <c r="E3" s="2253"/>
      <c r="F3" s="764"/>
      <c r="G3" s="765"/>
      <c r="H3" s="765"/>
      <c r="I3" s="765"/>
      <c r="J3" s="766"/>
      <c r="K3" s="766"/>
    </row>
    <row r="4" spans="1:11" x14ac:dyDescent="0.2">
      <c r="A4" s="2254" t="s">
        <v>387</v>
      </c>
      <c r="B4" s="2255"/>
      <c r="C4" s="2255"/>
      <c r="D4" s="2255"/>
      <c r="E4" s="2201"/>
      <c r="F4" s="767"/>
      <c r="G4" s="768"/>
      <c r="H4" s="769"/>
      <c r="I4" s="768"/>
      <c r="J4" s="770"/>
      <c r="K4" s="770"/>
    </row>
    <row r="5" spans="1:11" x14ac:dyDescent="0.2">
      <c r="A5" s="2232" t="s">
        <v>1129</v>
      </c>
      <c r="B5" s="2233"/>
      <c r="C5" s="2233"/>
      <c r="D5" s="2233"/>
      <c r="E5" s="2234"/>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2" t="s">
        <v>1920</v>
      </c>
      <c r="B10" s="2233"/>
      <c r="C10" s="2233"/>
      <c r="D10" s="2233"/>
      <c r="E10" s="2235"/>
      <c r="F10" s="784" t="s">
        <v>917</v>
      </c>
      <c r="G10" s="783"/>
      <c r="H10" s="785"/>
      <c r="I10" s="765"/>
      <c r="J10" s="766"/>
      <c r="K10" s="766"/>
    </row>
    <row r="11" spans="1:11" x14ac:dyDescent="0.2">
      <c r="A11" s="2232" t="s">
        <v>162</v>
      </c>
      <c r="B11" s="2233"/>
      <c r="C11" s="2233"/>
      <c r="D11" s="2233"/>
      <c r="E11" s="2234"/>
      <c r="F11" s="771" t="s">
        <v>907</v>
      </c>
      <c r="G11" s="772"/>
      <c r="H11" s="765"/>
      <c r="I11" s="765"/>
      <c r="J11" s="766"/>
      <c r="K11" s="774"/>
    </row>
    <row r="12" spans="1:11" ht="13.5" thickBot="1" x14ac:dyDescent="0.25">
      <c r="A12" s="2259" t="s">
        <v>961</v>
      </c>
      <c r="B12" s="2260"/>
      <c r="C12" s="2260"/>
      <c r="D12" s="2260"/>
      <c r="E12" s="2261"/>
      <c r="F12" s="1779"/>
      <c r="G12" s="1780">
        <f>SUM(G5:G11)</f>
        <v>0</v>
      </c>
      <c r="H12" s="1780">
        <f>SUM(H5:H11)</f>
        <v>0</v>
      </c>
      <c r="I12" s="1780">
        <f>SUM(I5:I11)</f>
        <v>0</v>
      </c>
      <c r="J12" s="1780">
        <f>SUM(J5:J11)</f>
        <v>0</v>
      </c>
      <c r="K12" s="1780">
        <f>SUM(K5:K11)</f>
        <v>0</v>
      </c>
    </row>
    <row r="13" spans="1:11" ht="13.5" thickTop="1" x14ac:dyDescent="0.2">
      <c r="A13" s="2256" t="s">
        <v>388</v>
      </c>
      <c r="B13" s="2257"/>
      <c r="C13" s="2257"/>
      <c r="D13" s="2257"/>
      <c r="E13" s="2258"/>
      <c r="F13" s="786"/>
      <c r="G13" s="787"/>
      <c r="H13" s="788"/>
      <c r="I13" s="789"/>
      <c r="J13" s="789"/>
      <c r="K13" s="789"/>
    </row>
    <row r="14" spans="1:11" x14ac:dyDescent="0.2">
      <c r="A14" s="2239" t="s">
        <v>476</v>
      </c>
      <c r="B14" s="2239"/>
      <c r="C14" s="2239"/>
      <c r="D14" s="2239"/>
      <c r="E14" s="2240"/>
      <c r="F14" s="790" t="s">
        <v>909</v>
      </c>
      <c r="G14" s="783"/>
      <c r="H14" s="765"/>
      <c r="I14" s="772"/>
      <c r="J14" s="774"/>
      <c r="K14" s="766"/>
    </row>
    <row r="15" spans="1:11" x14ac:dyDescent="0.2">
      <c r="A15" s="2233" t="s">
        <v>4</v>
      </c>
      <c r="B15" s="2233"/>
      <c r="C15" s="2233"/>
      <c r="D15" s="2233"/>
      <c r="E15" s="2234"/>
      <c r="F15" s="790" t="s">
        <v>910</v>
      </c>
      <c r="G15" s="772"/>
      <c r="H15" s="765"/>
      <c r="I15" s="765"/>
      <c r="J15" s="766"/>
      <c r="K15" s="766"/>
    </row>
    <row r="16" spans="1:11" x14ac:dyDescent="0.2">
      <c r="A16" s="2233" t="s">
        <v>316</v>
      </c>
      <c r="B16" s="2233"/>
      <c r="C16" s="2233"/>
      <c r="D16" s="2233"/>
      <c r="E16" s="2234"/>
      <c r="F16" s="790" t="s">
        <v>980</v>
      </c>
      <c r="G16" s="773"/>
      <c r="H16" s="768"/>
      <c r="I16" s="768"/>
      <c r="J16" s="770"/>
      <c r="K16" s="770"/>
    </row>
    <row r="17" spans="1:11" x14ac:dyDescent="0.2">
      <c r="A17" s="2264" t="s">
        <v>992</v>
      </c>
      <c r="B17" s="2264"/>
      <c r="C17" s="2264"/>
      <c r="D17" s="2264"/>
      <c r="E17" s="2265"/>
      <c r="F17" s="791"/>
      <c r="G17" s="792"/>
      <c r="H17" s="793"/>
      <c r="I17" s="793"/>
      <c r="J17" s="794"/>
      <c r="K17" s="795"/>
    </row>
    <row r="18" spans="1:11" x14ac:dyDescent="0.2">
      <c r="A18" s="2243" t="s">
        <v>386</v>
      </c>
      <c r="B18" s="2244"/>
      <c r="C18" s="2244"/>
      <c r="D18" s="2244"/>
      <c r="E18" s="2245"/>
      <c r="F18" s="790" t="s">
        <v>989</v>
      </c>
      <c r="G18" s="783"/>
      <c r="H18" s="783"/>
      <c r="I18" s="783"/>
      <c r="J18" s="766"/>
      <c r="K18" s="796"/>
    </row>
    <row r="19" spans="1:11" ht="21.75" customHeight="1" x14ac:dyDescent="0.2">
      <c r="A19" s="2241" t="s">
        <v>1916</v>
      </c>
      <c r="B19" s="2241"/>
      <c r="C19" s="2241"/>
      <c r="D19" s="2241"/>
      <c r="E19" s="2242"/>
      <c r="F19" s="790" t="s">
        <v>990</v>
      </c>
      <c r="G19" s="783"/>
      <c r="H19" s="783"/>
      <c r="I19" s="783"/>
      <c r="J19" s="766"/>
      <c r="K19" s="796"/>
    </row>
    <row r="20" spans="1:11" x14ac:dyDescent="0.2">
      <c r="A20" s="2243" t="s">
        <v>1921</v>
      </c>
      <c r="B20" s="2244"/>
      <c r="C20" s="2244"/>
      <c r="D20" s="2244"/>
      <c r="E20" s="2245"/>
      <c r="F20" s="790" t="s">
        <v>991</v>
      </c>
      <c r="G20" s="783"/>
      <c r="H20" s="783"/>
      <c r="I20" s="783"/>
      <c r="J20" s="766"/>
      <c r="K20" s="796"/>
    </row>
    <row r="21" spans="1:11" ht="13.5" thickBot="1" x14ac:dyDescent="0.25">
      <c r="A21" s="2262" t="s">
        <v>659</v>
      </c>
      <c r="B21" s="2262"/>
      <c r="C21" s="2262"/>
      <c r="D21" s="2262"/>
      <c r="E21" s="2262"/>
      <c r="F21" s="1781"/>
      <c r="G21" s="793"/>
      <c r="H21" s="797"/>
      <c r="I21" s="797"/>
      <c r="J21" s="1782">
        <f>SUM(J18:J20)</f>
        <v>0</v>
      </c>
      <c r="K21" s="794"/>
    </row>
    <row r="22" spans="1:11" ht="13.5" thickTop="1" x14ac:dyDescent="0.2">
      <c r="A22" s="2233" t="s">
        <v>1922</v>
      </c>
      <c r="B22" s="2233"/>
      <c r="C22" s="2233"/>
      <c r="D22" s="2233"/>
      <c r="E22" s="2234"/>
      <c r="F22" s="790" t="s">
        <v>917</v>
      </c>
      <c r="G22" s="783"/>
      <c r="H22" s="765"/>
      <c r="I22" s="765"/>
      <c r="J22" s="798"/>
      <c r="K22" s="766"/>
    </row>
    <row r="23" spans="1:11" ht="13.5" thickBot="1" x14ac:dyDescent="0.25">
      <c r="A23" s="2263" t="s">
        <v>962</v>
      </c>
      <c r="B23" s="2262"/>
      <c r="C23" s="2262"/>
      <c r="D23" s="2262"/>
      <c r="E23" s="2262"/>
      <c r="F23" s="1783"/>
      <c r="G23" s="1780">
        <f>SUM(G14:G16,G21,G22)</f>
        <v>0</v>
      </c>
      <c r="H23" s="1780">
        <f>SUM(H14:H16,H21,H22)</f>
        <v>0</v>
      </c>
      <c r="I23" s="1780">
        <f>SUM(I14:I16,I21,I22)</f>
        <v>0</v>
      </c>
      <c r="J23" s="1780">
        <f>SUM(J14:J16,J21,J22)</f>
        <v>0</v>
      </c>
      <c r="K23" s="1780">
        <f>SUM(K14:K16,K21,K22)</f>
        <v>0</v>
      </c>
    </row>
    <row r="24" spans="1:11" ht="14.25" thickTop="1" thickBot="1" x14ac:dyDescent="0.25">
      <c r="A24" s="2263" t="s">
        <v>2026</v>
      </c>
      <c r="B24" s="2262"/>
      <c r="C24" s="2262"/>
      <c r="D24" s="2262"/>
      <c r="E24" s="226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6"/>
      <c r="I31" s="2237"/>
      <c r="J31" s="2237"/>
      <c r="K31" s="2237"/>
    </row>
    <row r="32" spans="1:11" x14ac:dyDescent="0.2">
      <c r="A32" s="810"/>
      <c r="B32" s="237"/>
      <c r="C32" s="237"/>
      <c r="D32" s="237"/>
      <c r="E32" s="806"/>
      <c r="F32" s="812" t="s">
        <v>561</v>
      </c>
      <c r="G32" s="765"/>
      <c r="H32" s="2238"/>
      <c r="I32" s="2237"/>
      <c r="J32" s="2237"/>
      <c r="K32" s="2237"/>
    </row>
    <row r="33" spans="1:11" ht="1.5" customHeight="1" x14ac:dyDescent="0.2">
      <c r="A33" s="813" t="s">
        <v>1231</v>
      </c>
      <c r="B33" s="364"/>
      <c r="C33" s="364"/>
      <c r="D33" s="364"/>
      <c r="E33" s="364"/>
      <c r="F33" s="364"/>
      <c r="G33" s="814"/>
      <c r="H33" s="2238"/>
      <c r="I33" s="2237"/>
      <c r="J33" s="2237"/>
      <c r="K33" s="223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46"/>
      <c r="C41" s="2246"/>
      <c r="D41" s="2246"/>
      <c r="E41" s="2246"/>
      <c r="F41" s="224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3" sqref="J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7"/>
      <c r="E1" s="828"/>
      <c r="F1" s="828"/>
      <c r="G1" s="829"/>
      <c r="H1" s="830"/>
      <c r="I1" s="831"/>
      <c r="J1" s="2266"/>
      <c r="K1" s="2267"/>
      <c r="L1" s="226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0</v>
      </c>
      <c r="D16" s="1782">
        <f>SUM(D3,D5:D6,D8:D10,D12:D15)</f>
        <v>0</v>
      </c>
      <c r="E16" s="1782">
        <f>SUM(E3,E5:E6,E8:E10,E12:E15)</f>
        <v>0</v>
      </c>
      <c r="F16" s="1782">
        <f>SUM(F3,F5:F6,F8:F10,F12:F15)</f>
        <v>0</v>
      </c>
      <c r="G16" s="844"/>
      <c r="H16" s="1782">
        <f>SUM(H3,H6,H8:H10,H12:H14,)</f>
        <v>0</v>
      </c>
      <c r="I16" s="1782">
        <f>SUM(I3,I6,I8:I10,I12:I14,)</f>
        <v>0</v>
      </c>
      <c r="J16" s="1782">
        <f>SUM(J3,J6,J8:J10,J12:J14,)</f>
        <v>0</v>
      </c>
      <c r="K16" s="1782">
        <f>(H16+I16)-J16</f>
        <v>0</v>
      </c>
      <c r="L16" s="1782">
        <f>F16-K16</f>
        <v>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16670</v>
      </c>
      <c r="G17" s="838">
        <v>10</v>
      </c>
      <c r="H17" s="770"/>
      <c r="I17" s="1791">
        <f>F17/G17</f>
        <v>1667</v>
      </c>
      <c r="J17" s="770"/>
      <c r="K17" s="796"/>
      <c r="L17" s="796"/>
    </row>
    <row r="18" spans="1:12" ht="14.25" thickTop="1" thickBot="1" x14ac:dyDescent="0.25">
      <c r="A18" s="1789" t="s">
        <v>706</v>
      </c>
      <c r="B18" s="1790"/>
      <c r="C18" s="772"/>
      <c r="D18" s="772"/>
      <c r="E18" s="772"/>
      <c r="F18" s="851"/>
      <c r="G18" s="852"/>
      <c r="H18" s="774"/>
      <c r="I18" s="1782">
        <f>SUM(I16,I17)</f>
        <v>1667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4" t="s">
        <v>1699</v>
      </c>
      <c r="B1" s="2275"/>
      <c r="C1" s="2275"/>
      <c r="D1" s="2275"/>
      <c r="E1" s="2275"/>
      <c r="F1" s="2276"/>
      <c r="G1" s="856"/>
    </row>
    <row r="2" spans="1:7" ht="15" customHeight="1" thickBot="1" x14ac:dyDescent="0.25">
      <c r="A2" s="2277" t="s">
        <v>498</v>
      </c>
      <c r="B2" s="2278"/>
      <c r="C2" s="2278"/>
      <c r="D2" s="2278"/>
      <c r="E2" s="2278"/>
      <c r="F2" s="227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2077111</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2077111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52583</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53583</v>
      </c>
      <c r="G53" s="866"/>
    </row>
    <row r="54" spans="1:7" x14ac:dyDescent="0.2">
      <c r="A54" s="870" t="s">
        <v>479</v>
      </c>
      <c r="B54" s="870" t="s">
        <v>1552</v>
      </c>
      <c r="C54" s="890" t="s">
        <v>1039</v>
      </c>
      <c r="D54" s="886" t="s">
        <v>1157</v>
      </c>
      <c r="E54" s="869"/>
      <c r="F54" s="1939">
        <f>'Expenditures 15-22'!G114</f>
        <v>31773</v>
      </c>
      <c r="G54" s="866"/>
    </row>
    <row r="55" spans="1:7" x14ac:dyD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154609</v>
      </c>
      <c r="G76" s="866"/>
    </row>
    <row r="77" spans="1:8" s="894" customFormat="1" ht="12" customHeight="1" thickTop="1" thickBot="1" x14ac:dyDescent="0.25">
      <c r="A77" s="1801"/>
      <c r="B77" s="1798"/>
      <c r="C77" s="1794"/>
      <c r="D77" s="1799" t="s">
        <v>2012</v>
      </c>
      <c r="E77" s="1796"/>
      <c r="F77" s="1802">
        <f>(F14-F76)</f>
        <v>1922502</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1" t="s">
        <v>1167</v>
      </c>
      <c r="B81" s="2272"/>
      <c r="C81" s="2272"/>
      <c r="D81" s="2272"/>
      <c r="E81" s="2272"/>
      <c r="F81" s="227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24777</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5500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254025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284302</v>
      </c>
    </row>
    <row r="179" spans="1:7" ht="12" customHeight="1" x14ac:dyDescent="0.2">
      <c r="A179" s="1792"/>
      <c r="B179" s="1806"/>
      <c r="C179" s="1807"/>
      <c r="D179" s="1808" t="s">
        <v>2015</v>
      </c>
      <c r="E179" s="1809"/>
      <c r="F179" s="1811">
        <f>'PCTC-OEPP 27-28'!F77-F178</f>
        <v>1638200</v>
      </c>
    </row>
    <row r="180" spans="1:7" ht="12" customHeight="1" x14ac:dyDescent="0.2">
      <c r="A180" s="1792"/>
      <c r="B180" s="1806"/>
      <c r="C180" s="1807"/>
      <c r="D180" s="1808" t="s">
        <v>1924</v>
      </c>
      <c r="E180" s="1809"/>
      <c r="F180" s="1811">
        <f>'Cap Outlay Deprec 26'!I18</f>
        <v>1667</v>
      </c>
    </row>
    <row r="181" spans="1:7" ht="12" customHeight="1" x14ac:dyDescent="0.2">
      <c r="A181" s="1792"/>
      <c r="B181" s="1806"/>
      <c r="C181" s="1807"/>
      <c r="D181" s="1808" t="s">
        <v>2016</v>
      </c>
      <c r="E181" s="1809"/>
      <c r="F181" s="1811">
        <f>F179+F180</f>
        <v>1639867</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6" t="s">
        <v>1926</v>
      </c>
      <c r="B6" s="1557"/>
      <c r="C6" s="1557"/>
      <c r="D6" s="1557"/>
      <c r="E6" s="1557"/>
      <c r="F6" s="1557"/>
      <c r="G6" s="1558"/>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9" t="s">
        <v>1927</v>
      </c>
      <c r="B10" s="1560"/>
      <c r="C10" s="1560"/>
      <c r="D10" s="1560"/>
      <c r="E10" s="1560"/>
      <c r="F10" s="1560"/>
      <c r="G10" s="1561"/>
    </row>
    <row r="11" spans="1:7" ht="17.25" customHeight="1" x14ac:dyDescent="0.25">
      <c r="A11" s="2291" t="s">
        <v>1941</v>
      </c>
      <c r="B11" s="2292"/>
      <c r="C11" s="2292"/>
      <c r="D11" s="2292"/>
      <c r="E11" s="2292"/>
      <c r="F11" s="2292"/>
      <c r="G11" s="2293"/>
    </row>
    <row r="12" spans="1:7" ht="15" customHeight="1" x14ac:dyDescent="0.25">
      <c r="A12" s="1559" t="s">
        <v>1932</v>
      </c>
      <c r="B12" s="1560"/>
      <c r="C12" s="1560"/>
      <c r="D12" s="1560"/>
      <c r="E12" s="1560"/>
      <c r="F12" s="1560"/>
      <c r="G12" s="1561"/>
    </row>
    <row r="13" spans="1:7" ht="32.25" customHeight="1" x14ac:dyDescent="0.25">
      <c r="A13" s="2282" t="s">
        <v>1933</v>
      </c>
      <c r="B13" s="2283"/>
      <c r="C13" s="2283"/>
      <c r="D13" s="2283"/>
      <c r="E13" s="2283"/>
      <c r="F13" s="2283"/>
      <c r="G13" s="2284"/>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2091</v>
      </c>
      <c r="B17" s="1868" t="s">
        <v>2092</v>
      </c>
      <c r="C17" s="1678" t="s">
        <v>2093</v>
      </c>
      <c r="D17" s="1867">
        <v>57000</v>
      </c>
      <c r="E17" s="1562">
        <f t="shared" ref="E17:E141" si="1">IF(D17&lt;=25000,D17,IF(D17&gt;25000,25000,0))</f>
        <v>25000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57000</v>
      </c>
      <c r="E141" s="1563">
        <f t="shared" si="1"/>
        <v>25000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7" t="s">
        <v>1778</v>
      </c>
      <c r="B5" s="2298"/>
      <c r="C5" s="2298"/>
      <c r="D5" s="2298"/>
      <c r="E5" s="2298"/>
      <c r="F5" s="2298"/>
      <c r="G5" s="229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2" t="s">
        <v>1945</v>
      </c>
      <c r="B11" s="2303"/>
      <c r="C11" s="2303"/>
      <c r="D11" s="2304"/>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1554005</v>
      </c>
      <c r="F19" s="1822"/>
      <c r="G19" s="1824">
        <f>'Expenditures 15-22'!K33-SUM('Expenditures 15-22'!G33,'Expenditures 15-22'!I33)+'Expenditures 15-22'!D229</f>
        <v>1554005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42981</v>
      </c>
      <c r="F21" s="1825"/>
      <c r="G21" s="1828">
        <f>'Expenditures 15-22'!K42-SUM('Expenditures 15-22'!G42,'Expenditures 15-22'!I42)+'Expenditures 15-22'!K120-SUM('Expenditures 15-22'!G120,'Expenditures 15-22'!I120)+'Expenditures 15-22'!K180-SUM('Expenditures 15-22'!G180,'Expenditures 15-22'!I180)+'Expenditures 15-22'!D238</f>
        <v>42981</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0</v>
      </c>
      <c r="F23" s="1825"/>
      <c r="G23" s="1827">
        <f>'Expenditures 15-22'!K53-SUM('Expenditures 15-22'!G53,'Expenditures 15-22'!I53)+'Expenditures 15-22'!D257+'Expenditures 15-22'!K330-SUM('Expenditures 15-22'!G330,'Expenditures 15-22'!I330)</f>
        <v>0</v>
      </c>
      <c r="H23" s="988"/>
      <c r="I23" s="162"/>
    </row>
    <row r="24" spans="1:9" s="669" customFormat="1" ht="12" customHeight="1" x14ac:dyDescent="0.2">
      <c r="A24" s="995" t="s">
        <v>587</v>
      </c>
      <c r="B24" s="996"/>
      <c r="C24" s="994">
        <v>2400</v>
      </c>
      <c r="D24" s="1825"/>
      <c r="E24" s="1827">
        <f>'Expenditures 15-22'!K57-SUM('Expenditures 15-22'!G57,'Expenditures 15-22'!I57)+'Expenditures 15-22'!D261</f>
        <v>223392</v>
      </c>
      <c r="F24" s="1825"/>
      <c r="G24" s="1828">
        <f>'Expenditures 15-22'!K57-SUM('Expenditures 15-22'!G57,'Expenditures 15-22'!I57)+'Expenditures 15-22'!D261</f>
        <v>223392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825</v>
      </c>
      <c r="E27" s="1827">
        <f>E8</f>
        <v>0</v>
      </c>
      <c r="F27" s="1827">
        <f>'Expenditures 15-22'!K60-SUM('Expenditures 15-22'!G60,'Expenditures 15-22'!I60)+'Expenditures 15-22'!D264-E8</f>
        <v>825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139536</v>
      </c>
      <c r="F28" s="1829">
        <f>'Expenditures 15-22'!K61-SUM('Expenditures 15-22'!G61,'Expenditures 15-22'!I61)+'Expenditures 15-22'!K124-SUM('Expenditures 15-22'!G124,'Expenditures 15-22'!I124)+'Expenditures 15-22'!D266-E9</f>
        <v>139536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14346</v>
      </c>
      <c r="F38" s="1825"/>
      <c r="G38" s="1827">
        <f>'Expenditures 15-22'!K73-SUM('Expenditures 15-22'!G73,'Expenditures 15-22'!I73)+'Expenditures 15-22'!K128-SUM('Expenditures 15-22'!G128,'Expenditures 15-22'!I128)+'Expenditures 15-22'!K183-SUM('Expenditures 15-22'!G183,'Expenditures 15-22'!I183)+'Expenditures 15-22'!D278</f>
        <v>14346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825</v>
      </c>
      <c r="E41" s="1829">
        <f>SUM(E19:E40)</f>
        <v>1974260</v>
      </c>
      <c r="F41" s="1829">
        <f>SUM(F19:F39)</f>
        <v>140361</v>
      </c>
      <c r="G41" s="1829">
        <f>SUM(G19:G40)</f>
        <v>1834724</v>
      </c>
    </row>
    <row r="42" spans="1:7" x14ac:dyDescent="0.2">
      <c r="A42" s="988"/>
      <c r="B42" s="162"/>
      <c r="C42" s="1002"/>
      <c r="D42" s="2300" t="s">
        <v>543</v>
      </c>
      <c r="E42" s="2301"/>
      <c r="F42" s="1003" t="s">
        <v>544</v>
      </c>
      <c r="G42" s="1004"/>
    </row>
    <row r="43" spans="1:7" ht="12" customHeight="1" x14ac:dyDescent="0.2">
      <c r="A43" s="988"/>
      <c r="B43" s="162"/>
      <c r="C43" s="1002"/>
      <c r="D43" s="1830" t="s">
        <v>493</v>
      </c>
      <c r="E43" s="1831">
        <f>D41</f>
        <v>825</v>
      </c>
      <c r="F43" s="1830" t="s">
        <v>495</v>
      </c>
      <c r="G43" s="1831">
        <f>F41</f>
        <v>140361</v>
      </c>
    </row>
    <row r="44" spans="1:7" ht="12" customHeight="1" x14ac:dyDescent="0.2">
      <c r="A44" s="988"/>
      <c r="B44" s="162"/>
      <c r="C44" s="1002"/>
      <c r="D44" s="1830" t="s">
        <v>494</v>
      </c>
      <c r="E44" s="1831">
        <f>E41</f>
        <v>1974260</v>
      </c>
      <c r="F44" s="1830" t="s">
        <v>494</v>
      </c>
      <c r="G44" s="1831">
        <f>G41</f>
        <v>1834724</v>
      </c>
    </row>
    <row r="45" spans="1:7" ht="12" customHeight="1" x14ac:dyDescent="0.2">
      <c r="A45" s="988"/>
      <c r="B45" s="162"/>
      <c r="C45" s="162"/>
      <c r="D45" s="1832" t="s">
        <v>1063</v>
      </c>
      <c r="E45" s="1833">
        <f>(E43/E44)</f>
        <v>4.1787809103157637E-4</v>
      </c>
      <c r="F45" s="1832" t="s">
        <v>1063</v>
      </c>
      <c r="G45" s="1833">
        <f>(G43/G44)</f>
        <v>7.6502514819667702E-2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9" t="s">
        <v>1446</v>
      </c>
      <c r="B1" s="2319"/>
      <c r="C1" s="2319"/>
      <c r="D1" s="2319"/>
      <c r="E1" s="2319"/>
      <c r="F1" s="231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0" t="s">
        <v>1627</v>
      </c>
      <c r="B5" s="2321"/>
      <c r="C5" s="2322"/>
      <c r="D5" s="2322"/>
      <c r="E5" s="2322"/>
      <c r="F5" s="2322"/>
    </row>
    <row r="6" spans="1:10" ht="12" customHeight="1" x14ac:dyDescent="0.25">
      <c r="A6" s="1875"/>
      <c r="B6" s="1876"/>
      <c r="C6" s="2323" t="str">
        <f>COVER!A17</f>
        <v>Fox Valley Career Center</v>
      </c>
      <c r="D6" s="2323"/>
      <c r="E6" s="2323"/>
      <c r="F6" s="1877"/>
    </row>
    <row r="7" spans="1:10" ht="11.25" customHeight="1" thickBot="1" x14ac:dyDescent="0.3">
      <c r="A7" s="1875"/>
      <c r="B7" s="1876"/>
      <c r="C7" s="2324">
        <f>COVER!A13</f>
        <v>31045302041</v>
      </c>
      <c r="D7" s="2324"/>
      <c r="E7" s="2324"/>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t="s">
        <v>2082</v>
      </c>
      <c r="D12" s="1890" t="s">
        <v>2082</v>
      </c>
      <c r="E12" s="1893" t="s">
        <v>2098</v>
      </c>
      <c r="F12" s="1892" t="s">
        <v>2099</v>
      </c>
      <c r="H12" s="1903">
        <f t="shared" ref="H12:H33" si="0">IF(C12="X",5,0)</f>
        <v>5</v>
      </c>
      <c r="I12" s="1903">
        <f t="shared" ref="I12:I33" si="1">IF(D12="X",5,0)</f>
        <v>5</v>
      </c>
      <c r="J12" s="1903">
        <f t="shared" ref="J12:J33" si="2">IF(E12="X",5,0)</f>
        <v>0</v>
      </c>
    </row>
    <row r="13" spans="1:10" ht="12" customHeight="1" x14ac:dyDescent="0.2">
      <c r="A13" s="1888" t="s">
        <v>1452</v>
      </c>
      <c r="B13" s="1889"/>
      <c r="C13" s="1890" t="s">
        <v>2082</v>
      </c>
      <c r="D13" s="1890" t="s">
        <v>2082</v>
      </c>
      <c r="E13" s="1893" t="s">
        <v>2098</v>
      </c>
      <c r="F13" s="1892" t="s">
        <v>2100</v>
      </c>
      <c r="H13" s="1903">
        <f t="shared" si="0"/>
        <v>5</v>
      </c>
      <c r="I13" s="1903">
        <f t="shared" si="1"/>
        <v>5</v>
      </c>
      <c r="J13" s="1903">
        <f t="shared" si="2"/>
        <v>0</v>
      </c>
    </row>
    <row r="14" spans="1:10" ht="12" customHeight="1" x14ac:dyDescent="0.2">
      <c r="A14" s="1888" t="s">
        <v>1453</v>
      </c>
      <c r="B14" s="1889"/>
      <c r="C14" s="1890" t="s">
        <v>2082</v>
      </c>
      <c r="D14" s="1890" t="s">
        <v>2082</v>
      </c>
      <c r="E14" s="1893" t="s">
        <v>2098</v>
      </c>
      <c r="F14" s="1892" t="s">
        <v>2099</v>
      </c>
      <c r="H14" s="1903">
        <f t="shared" si="0"/>
        <v>5</v>
      </c>
      <c r="I14" s="1903">
        <f t="shared" si="1"/>
        <v>5</v>
      </c>
      <c r="J14" s="1903">
        <f t="shared" si="2"/>
        <v>0</v>
      </c>
    </row>
    <row r="15" spans="1:10" ht="12" customHeight="1" x14ac:dyDescent="0.2">
      <c r="A15" s="1888" t="s">
        <v>1454</v>
      </c>
      <c r="B15" s="1889"/>
      <c r="C15" s="1890" t="s">
        <v>2082</v>
      </c>
      <c r="D15" s="1890" t="s">
        <v>2082</v>
      </c>
      <c r="E15" s="1893" t="s">
        <v>2098</v>
      </c>
      <c r="F15" s="1892" t="s">
        <v>2099</v>
      </c>
      <c r="H15" s="1903">
        <f t="shared" si="0"/>
        <v>5</v>
      </c>
      <c r="I15" s="1903">
        <f t="shared" si="1"/>
        <v>5</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t="s">
        <v>2082</v>
      </c>
      <c r="D18" s="1890" t="s">
        <v>2082</v>
      </c>
      <c r="E18" s="1893" t="s">
        <v>2098</v>
      </c>
      <c r="F18" s="1892" t="s">
        <v>2099</v>
      </c>
      <c r="H18" s="1903">
        <f t="shared" si="0"/>
        <v>5</v>
      </c>
      <c r="I18" s="1903">
        <f t="shared" si="1"/>
        <v>5</v>
      </c>
      <c r="J18" s="1903">
        <f t="shared" si="2"/>
        <v>0</v>
      </c>
    </row>
    <row r="19" spans="1:12" ht="12" customHeight="1" x14ac:dyDescent="0.2">
      <c r="A19" s="1888" t="s">
        <v>1608</v>
      </c>
      <c r="B19" s="1889"/>
      <c r="C19" s="1890" t="s">
        <v>2082</v>
      </c>
      <c r="D19" s="1890" t="s">
        <v>2082</v>
      </c>
      <c r="E19" s="1893" t="s">
        <v>2098</v>
      </c>
      <c r="F19" s="1892" t="s">
        <v>2099</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t="s">
        <v>2082</v>
      </c>
      <c r="D21" s="1890" t="s">
        <v>2082</v>
      </c>
      <c r="E21" s="1893" t="s">
        <v>2098</v>
      </c>
      <c r="F21" s="1892" t="s">
        <v>2099</v>
      </c>
      <c r="H21" s="1903">
        <f t="shared" si="0"/>
        <v>5</v>
      </c>
      <c r="I21" s="1903">
        <f t="shared" si="1"/>
        <v>5</v>
      </c>
      <c r="J21" s="1903">
        <f t="shared" si="2"/>
        <v>0</v>
      </c>
    </row>
    <row r="22" spans="1:12" ht="12" customHeight="1" x14ac:dyDescent="0.2">
      <c r="A22" s="1888" t="s">
        <v>1611</v>
      </c>
      <c r="B22" s="1889"/>
      <c r="C22" s="1890" t="s">
        <v>2082</v>
      </c>
      <c r="D22" s="1890" t="s">
        <v>2082</v>
      </c>
      <c r="E22" s="1893" t="s">
        <v>2098</v>
      </c>
      <c r="F22" s="1892" t="s">
        <v>2099</v>
      </c>
      <c r="H22" s="1903">
        <f t="shared" si="0"/>
        <v>5</v>
      </c>
      <c r="I22" s="1903">
        <f t="shared" si="1"/>
        <v>5</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2082</v>
      </c>
      <c r="D25" s="1890" t="s">
        <v>2082</v>
      </c>
      <c r="E25" s="1893" t="s">
        <v>2098</v>
      </c>
      <c r="F25" s="1892" t="s">
        <v>2099</v>
      </c>
      <c r="H25" s="1903">
        <f t="shared" si="0"/>
        <v>5</v>
      </c>
      <c r="I25" s="1903">
        <f t="shared" si="1"/>
        <v>5</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45</v>
      </c>
      <c r="I34" s="1903">
        <f>SUM(I11:I32)</f>
        <v>45</v>
      </c>
      <c r="J34" s="1903">
        <f>SUM(J11:J32)</f>
        <v>0</v>
      </c>
      <c r="K34" s="1903">
        <f>SUM(H34:J34)</f>
        <v>90</v>
      </c>
    </row>
    <row r="35" spans="1:11" ht="12" customHeight="1" x14ac:dyDescent="0.2">
      <c r="A35" s="1896" t="s">
        <v>1459</v>
      </c>
      <c r="B35" s="1897"/>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8"/>
      <c r="B39" s="1898"/>
      <c r="C39" s="1898"/>
      <c r="D39" s="1898"/>
      <c r="E39" s="1898"/>
      <c r="F39" s="1898"/>
    </row>
    <row r="40" spans="1:11" s="1895" customFormat="1" ht="12" customHeight="1" x14ac:dyDescent="0.25">
      <c r="A40" s="1899" t="s">
        <v>1458</v>
      </c>
      <c r="B40" s="1900"/>
      <c r="C40" s="2314"/>
      <c r="D40" s="2314"/>
      <c r="E40" s="2314"/>
      <c r="F40" s="2315"/>
      <c r="H40" s="1904"/>
      <c r="I40" s="1904"/>
      <c r="J40" s="1904"/>
      <c r="K40" s="1904"/>
    </row>
    <row r="41" spans="1:11" s="1895" customFormat="1" ht="12" customHeight="1" x14ac:dyDescent="0.25">
      <c r="A41" s="2316"/>
      <c r="B41" s="2317"/>
      <c r="C41" s="2317"/>
      <c r="D41" s="2317"/>
      <c r="E41" s="2317"/>
      <c r="F41" s="2318"/>
      <c r="H41" s="1904"/>
      <c r="I41" s="1904"/>
      <c r="J41" s="1904"/>
      <c r="K41" s="1904"/>
    </row>
    <row r="42" spans="1:11" s="1895" customFormat="1" ht="12" customHeight="1" x14ac:dyDescent="0.25">
      <c r="A42" s="2316"/>
      <c r="B42" s="2317"/>
      <c r="C42" s="2317"/>
      <c r="D42" s="2317"/>
      <c r="E42" s="2317"/>
      <c r="F42" s="2318"/>
      <c r="H42" s="1904"/>
      <c r="I42" s="1904"/>
      <c r="J42" s="1904"/>
      <c r="K42" s="1904"/>
    </row>
    <row r="43" spans="1:11" s="1895" customFormat="1" ht="15" x14ac:dyDescent="0.25">
      <c r="A43" s="2305"/>
      <c r="B43" s="2306"/>
      <c r="C43" s="2306"/>
      <c r="D43" s="2306"/>
      <c r="E43" s="2306"/>
      <c r="F43" s="2307"/>
      <c r="H43" s="1904"/>
      <c r="I43" s="1904"/>
      <c r="J43" s="1904"/>
      <c r="K43" s="1904"/>
    </row>
    <row r="44" spans="1:11" s="1895" customFormat="1" ht="12" hidden="1" customHeight="1" x14ac:dyDescent="0.25">
      <c r="A44" s="2305"/>
      <c r="B44" s="2306"/>
      <c r="C44" s="2306"/>
      <c r="D44" s="2306"/>
      <c r="E44" s="2306"/>
      <c r="F44" s="230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2" t="str">
        <f>COVER!A17</f>
        <v>Fox Valley Career Center</v>
      </c>
      <c r="J6" s="2333"/>
      <c r="Q6" s="1686"/>
    </row>
    <row r="7" spans="1:17" x14ac:dyDescent="0.2">
      <c r="A7" s="2334" t="s">
        <v>924</v>
      </c>
      <c r="B7" s="2335"/>
      <c r="C7" s="2335"/>
      <c r="D7" s="2335"/>
      <c r="E7" s="2336"/>
      <c r="F7" s="1018"/>
      <c r="G7" s="1010"/>
      <c r="H7" s="1017" t="s">
        <v>390</v>
      </c>
      <c r="I7" s="2337">
        <f>COVER!A13</f>
        <v>31045302041</v>
      </c>
      <c r="J7" s="233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8" t="s">
        <v>502</v>
      </c>
      <c r="B11" s="2339"/>
      <c r="C11" s="234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1" t="s">
        <v>7</v>
      </c>
      <c r="C18" s="2342"/>
      <c r="D18" s="234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0</v>
      </c>
      <c r="F19" s="1836">
        <f t="shared" si="2"/>
        <v>0</v>
      </c>
      <c r="G19" s="1836">
        <f t="shared" si="2"/>
        <v>0</v>
      </c>
      <c r="H19" s="1836">
        <f t="shared" si="2"/>
        <v>0</v>
      </c>
      <c r="I19" s="1836">
        <f t="shared" si="2"/>
        <v>0</v>
      </c>
      <c r="J19" s="1836">
        <f t="shared" si="2"/>
        <v>0</v>
      </c>
    </row>
    <row r="20" spans="1:10" ht="13.5" thickTop="1" x14ac:dyDescent="0.2">
      <c r="A20" s="1036">
        <v>9</v>
      </c>
      <c r="B20" s="2344" t="s">
        <v>1703</v>
      </c>
      <c r="C20" s="2344"/>
      <c r="D20" s="2345"/>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0"/>
      <c r="D26" s="2350"/>
      <c r="E26" s="1051"/>
      <c r="F26" s="2349"/>
      <c r="G26" s="2349"/>
    </row>
    <row r="27" spans="1:10" x14ac:dyDescent="0.2">
      <c r="B27" s="1048"/>
      <c r="C27" s="1052" t="s">
        <v>1093</v>
      </c>
      <c r="D27" s="1053"/>
      <c r="E27" s="1054"/>
      <c r="F27" s="2346" t="s">
        <v>1589</v>
      </c>
      <c r="G27" s="2346"/>
    </row>
    <row r="28" spans="1:10" ht="28.5" customHeight="1" x14ac:dyDescent="0.2">
      <c r="B28" s="1048"/>
      <c r="C28" s="2348"/>
      <c r="D28" s="2348"/>
      <c r="E28" s="1055"/>
      <c r="F28" s="2348"/>
      <c r="G28" s="2348"/>
    </row>
    <row r="29" spans="1:10" x14ac:dyDescent="0.2">
      <c r="B29" s="1048"/>
      <c r="C29" s="1056" t="s">
        <v>1642</v>
      </c>
      <c r="E29" s="1057"/>
      <c r="F29" s="2347" t="s">
        <v>1590</v>
      </c>
      <c r="G29" s="234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3"/>
    </row>
    <row r="36" spans="1:10" ht="13.5" customHeight="1" x14ac:dyDescent="0.2">
      <c r="B36" s="1062"/>
      <c r="C36" s="2331" t="s">
        <v>1944</v>
      </c>
      <c r="D36" s="2330"/>
      <c r="E36" s="2330"/>
      <c r="F36" s="2330"/>
      <c r="G36" s="2330"/>
      <c r="H36" s="2330"/>
      <c r="I36" s="2330"/>
      <c r="J36" s="1064"/>
    </row>
    <row r="37" spans="1:10" ht="22.5" customHeight="1" x14ac:dyDescent="0.2">
      <c r="C37" s="2330"/>
      <c r="D37" s="2330"/>
      <c r="E37" s="2330"/>
      <c r="F37" s="2330"/>
      <c r="G37" s="2330"/>
      <c r="H37" s="2330"/>
      <c r="I37" s="2330"/>
      <c r="J37" s="1064"/>
    </row>
    <row r="38" spans="1:10" ht="7.5" customHeight="1" x14ac:dyDescent="0.2">
      <c r="C38" s="1063"/>
      <c r="D38" s="1065"/>
      <c r="E38" s="1066"/>
      <c r="F38" s="1067"/>
      <c r="G38" s="1066"/>
    </row>
    <row r="39" spans="1:10" ht="13.5" customHeight="1" x14ac:dyDescent="0.2">
      <c r="B39" s="1062"/>
      <c r="C39" s="2327" t="s">
        <v>937</v>
      </c>
      <c r="D39" s="2328"/>
      <c r="E39" s="2328"/>
      <c r="F39" s="2328"/>
      <c r="G39" s="2328"/>
      <c r="H39" s="2328"/>
      <c r="I39" s="232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2094</v>
      </c>
    </row>
    <row r="6" spans="1:2" x14ac:dyDescent="0.2">
      <c r="A6" s="1069">
        <v>2</v>
      </c>
      <c r="B6" s="329" t="s">
        <v>2095</v>
      </c>
    </row>
    <row r="7" spans="1:2" x14ac:dyDescent="0.2">
      <c r="A7" s="1069">
        <v>3</v>
      </c>
      <c r="B7" s="329" t="s">
        <v>2096</v>
      </c>
    </row>
    <row r="8" spans="1:2" x14ac:dyDescent="0.2">
      <c r="A8" s="1069">
        <v>4</v>
      </c>
      <c r="B8" s="329" t="s">
        <v>2097</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Fox Valley Career Center</v>
      </c>
    </row>
    <row r="65" spans="2:2" x14ac:dyDescent="0.2">
      <c r="B65" s="1071">
        <f>COVER!A13</f>
        <v>31045302041</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3" zoomScale="110" zoomScaleNormal="110" workbookViewId="0">
      <selection activeCell="D16" sqref="D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1" t="s">
        <v>1784</v>
      </c>
      <c r="B18" s="2351"/>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333375</xdr:colOff>
                <xdr:row>3</xdr:row>
                <xdr:rowOff>28575</xdr:rowOff>
              </from>
              <to>
                <xdr:col>1</xdr:col>
                <xdr:colOff>1238250</xdr:colOff>
                <xdr:row>7</xdr:row>
                <xdr:rowOff>66675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1343025</xdr:colOff>
                <xdr:row>3</xdr:row>
                <xdr:rowOff>19050</xdr:rowOff>
              </from>
              <to>
                <xdr:col>1</xdr:col>
                <xdr:colOff>2257425</xdr:colOff>
                <xdr:row>7</xdr:row>
                <xdr:rowOff>57150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2914650</xdr:colOff>
                <xdr:row>3</xdr:row>
                <xdr:rowOff>66675</xdr:rowOff>
              </from>
              <to>
                <xdr:col>1</xdr:col>
                <xdr:colOff>3829050</xdr:colOff>
                <xdr:row>8</xdr:row>
                <xdr:rowOff>28575</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2</xdr:col>
                <xdr:colOff>76200</xdr:colOff>
                <xdr:row>3</xdr:row>
                <xdr:rowOff>76200</xdr:rowOff>
              </from>
              <to>
                <xdr:col>3</xdr:col>
                <xdr:colOff>381000</xdr:colOff>
                <xdr:row>8</xdr:row>
                <xdr:rowOff>38100</xdr:rowOff>
              </to>
            </anchor>
          </objectPr>
        </oleObject>
      </mc:Choice>
      <mc:Fallback>
        <oleObject progId="Acrobat Document" dvAspect="DVASPECT_ICON" shapeId="50180"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J9" sqref="J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5"/>
      <c r="H2" s="1075"/>
    </row>
    <row r="3" spans="1:8" ht="57" customHeight="1" x14ac:dyDescent="0.2">
      <c r="A3" s="2365" t="s">
        <v>1786</v>
      </c>
      <c r="B3" s="2366"/>
      <c r="C3" s="2366"/>
      <c r="D3" s="2366"/>
      <c r="E3" s="2366"/>
      <c r="F3" s="2367"/>
      <c r="G3" s="1075"/>
      <c r="H3" s="1075"/>
    </row>
    <row r="4" spans="1:8" ht="14.25" customHeight="1" x14ac:dyDescent="0.2">
      <c r="A4" s="2371" t="s">
        <v>2056</v>
      </c>
      <c r="B4" s="2372"/>
      <c r="C4" s="2372"/>
      <c r="D4" s="2372"/>
      <c r="E4" s="2372"/>
      <c r="F4" s="2373"/>
      <c r="G4" s="1075"/>
      <c r="H4" s="1075"/>
    </row>
    <row r="5" spans="1:8" ht="14.25" customHeight="1" x14ac:dyDescent="0.2">
      <c r="A5" s="2374" t="s">
        <v>2057</v>
      </c>
      <c r="B5" s="2375"/>
      <c r="C5" s="2375"/>
      <c r="D5" s="2375"/>
      <c r="E5" s="2375"/>
      <c r="F5" s="2376"/>
      <c r="G5" s="1075"/>
      <c r="H5" s="1075"/>
    </row>
    <row r="6" spans="1:8" s="1076" customFormat="1" ht="41.25" customHeight="1" x14ac:dyDescent="0.2">
      <c r="A6" s="2368" t="s">
        <v>1792</v>
      </c>
      <c r="B6" s="2369"/>
      <c r="C6" s="2369"/>
      <c r="D6" s="2369"/>
      <c r="E6" s="2369"/>
      <c r="F6" s="237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2022795</v>
      </c>
      <c r="C8" s="1838">
        <f>'Acct Summary 7-8'!D8</f>
        <v>0</v>
      </c>
      <c r="D8" s="1838">
        <f>'Acct Summary 7-8'!F8</f>
        <v>0</v>
      </c>
      <c r="E8" s="1838">
        <f>'Acct Summary 7-8'!I8</f>
        <v>0</v>
      </c>
      <c r="F8" s="1838">
        <f>SUM(B8:E8)</f>
        <v>2022795</v>
      </c>
    </row>
    <row r="9" spans="1:8" s="1080" customFormat="1" ht="14.25" customHeight="1" thickBot="1" x14ac:dyDescent="0.25">
      <c r="A9" s="1079" t="s">
        <v>1436</v>
      </c>
      <c r="B9" s="1839">
        <f>'Acct Summary 7-8'!C17</f>
        <v>2077111</v>
      </c>
      <c r="C9" s="1839">
        <f>'Acct Summary 7-8'!D17</f>
        <v>0</v>
      </c>
      <c r="D9" s="1839">
        <f>'Acct Summary 7-8'!F17</f>
        <v>0</v>
      </c>
      <c r="E9" s="1838"/>
      <c r="F9" s="1838">
        <f>SUM(B9:E9)</f>
        <v>2077111</v>
      </c>
    </row>
    <row r="10" spans="1:8" s="1080" customFormat="1" ht="14.25" thickTop="1" thickBot="1" x14ac:dyDescent="0.25">
      <c r="A10" s="1081" t="s">
        <v>1437</v>
      </c>
      <c r="B10" s="1840">
        <f>(B8-B9)</f>
        <v>-54316</v>
      </c>
      <c r="C10" s="1840">
        <f>(C8-C9)</f>
        <v>0</v>
      </c>
      <c r="D10" s="1840">
        <f>(D8-D9)</f>
        <v>0</v>
      </c>
      <c r="E10" s="1839">
        <f>(E8-E9)</f>
        <v>0</v>
      </c>
      <c r="F10" s="1841">
        <f>SUM(F8-F9)</f>
        <v>-54316</v>
      </c>
    </row>
    <row r="11" spans="1:8" s="1080" customFormat="1" ht="14.25" thickTop="1" thickBot="1" x14ac:dyDescent="0.25">
      <c r="A11" s="1082" t="s">
        <v>1785</v>
      </c>
      <c r="B11" s="1842">
        <f>'Acct Summary 7-8'!C81</f>
        <v>268482</v>
      </c>
      <c r="C11" s="1842">
        <f>'Acct Summary 7-8'!D81</f>
        <v>0</v>
      </c>
      <c r="D11" s="1842">
        <f>'Acct Summary 7-8'!F81</f>
        <v>0</v>
      </c>
      <c r="E11" s="1842">
        <f>'Acct Summary 7-8'!I81</f>
        <v>0</v>
      </c>
      <c r="F11" s="1843">
        <f>SUM(B11:E11)</f>
        <v>268482</v>
      </c>
    </row>
    <row r="12" spans="1:8" ht="16.5" customHeight="1" thickTop="1" x14ac:dyDescent="0.2">
      <c r="A12" s="1083"/>
      <c r="B12" s="1084"/>
      <c r="C12" s="2356" t="str">
        <f>IF(AND(F10&lt;0,F11&gt;=0,ABS(F10*3)&gt;ABS(F11)),A16,IF(AND(F10&lt;0,F11&gt;0,ABS(F10*3)&lt;=ABS(F11)),A17,IF(AND(F10&lt;0,F11&lt;0),A16,IF(F11=0,A19,A18))))</f>
        <v>Unbalanced -  however, a deficit reduction plan is not required at this time.</v>
      </c>
      <c r="D12" s="2357"/>
      <c r="E12" s="2357"/>
      <c r="F12" s="2358"/>
    </row>
    <row r="13" spans="1:8" ht="19.5" customHeight="1" x14ac:dyDescent="0.2">
      <c r="A13" s="1085"/>
      <c r="B13" s="1086"/>
      <c r="C13" s="2356"/>
      <c r="D13" s="2357"/>
      <c r="E13" s="2357"/>
      <c r="F13" s="2358"/>
      <c r="H13" s="1075"/>
    </row>
    <row r="14" spans="1:8" ht="19.5" customHeight="1" x14ac:dyDescent="0.2">
      <c r="A14" s="1085"/>
      <c r="B14" s="1086"/>
      <c r="C14" s="2356"/>
      <c r="D14" s="2357"/>
      <c r="E14" s="2357"/>
      <c r="F14" s="2358"/>
      <c r="H14" s="1075"/>
    </row>
    <row r="15" spans="1:8" ht="17.25" customHeight="1" x14ac:dyDescent="0.2">
      <c r="A15" s="1085"/>
      <c r="B15" s="1086"/>
      <c r="C15" s="2359"/>
      <c r="D15" s="2360"/>
      <c r="E15" s="2360"/>
      <c r="F15" s="2361"/>
      <c r="H15" s="1075"/>
    </row>
    <row r="16" spans="1:8" s="310" customFormat="1" ht="51.75" hidden="1" customHeight="1" x14ac:dyDescent="0.2">
      <c r="A16" s="2355" t="s">
        <v>1787</v>
      </c>
      <c r="B16" s="2355"/>
      <c r="C16" s="2355"/>
      <c r="D16" s="2355"/>
      <c r="E16" s="235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7" t="s">
        <v>686</v>
      </c>
      <c r="B3" s="2378"/>
      <c r="C3" s="2378"/>
      <c r="D3" s="2379"/>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8" t="s">
        <v>1584</v>
      </c>
      <c r="D7" s="2389"/>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0" t="s">
        <v>1065</v>
      </c>
      <c r="B15" s="2381"/>
      <c r="C15" s="2381"/>
      <c r="D15" s="2382"/>
    </row>
    <row r="16" spans="1:4" s="669" customFormat="1" ht="24" customHeight="1" x14ac:dyDescent="0.2">
      <c r="A16" s="2383" t="s">
        <v>684</v>
      </c>
      <c r="B16" s="2384"/>
      <c r="C16" s="2384"/>
      <c r="D16" s="238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2" t="s">
        <v>332</v>
      </c>
      <c r="D21" s="2393"/>
    </row>
    <row r="22" spans="1:10" ht="12.75" x14ac:dyDescent="0.2">
      <c r="A22" s="1140"/>
      <c r="B22" s="1141">
        <v>2</v>
      </c>
      <c r="C22" s="2390" t="s">
        <v>1605</v>
      </c>
      <c r="D22" s="239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4" t="s">
        <v>557</v>
      </c>
      <c r="D43" s="239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6" t="s">
        <v>817</v>
      </c>
      <c r="D56" s="238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6" t="s">
        <v>1797</v>
      </c>
      <c r="D70" s="238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31045302041</v>
      </c>
    </row>
    <row r="3" spans="1:2" x14ac:dyDescent="0.2">
      <c r="A3" t="s">
        <v>1013</v>
      </c>
      <c r="B3" s="138" t="str">
        <f>COVER!A15</f>
        <v>KANE</v>
      </c>
    </row>
    <row r="4" spans="1:2" x14ac:dyDescent="0.2">
      <c r="A4" t="s">
        <v>1064</v>
      </c>
      <c r="B4" s="138" t="str">
        <f>COVER!A17</f>
        <v>Fox Valley Career Center</v>
      </c>
    </row>
    <row r="5" spans="1:2" x14ac:dyDescent="0.2">
      <c r="A5" t="s">
        <v>728</v>
      </c>
      <c r="B5" s="138" t="str">
        <f>COVER!A38</f>
        <v>DR. TODD LEDEN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065-033233</v>
      </c>
    </row>
    <row r="16" spans="1:2" x14ac:dyDescent="0.2">
      <c r="A16" t="s">
        <v>442</v>
      </c>
      <c r="B16" s="138" t="str">
        <f>COVER!T13</f>
        <v>Lauterbach &amp; Amen, LLP</v>
      </c>
    </row>
    <row r="17" spans="1:2" x14ac:dyDescent="0.2">
      <c r="A17" t="s">
        <v>939</v>
      </c>
      <c r="B17" s="138" t="str">
        <f>COVER!T15</f>
        <v>Matt Beran</v>
      </c>
    </row>
    <row r="18" spans="1:2" x14ac:dyDescent="0.2">
      <c r="A18" t="s">
        <v>1212</v>
      </c>
      <c r="B18" s="138" t="str">
        <f>COVER!T17</f>
        <v>668 N. River Road</v>
      </c>
    </row>
    <row r="19" spans="1:2" x14ac:dyDescent="0.2">
      <c r="A19" t="s">
        <v>941</v>
      </c>
      <c r="B19" s="138" t="str">
        <f>COVER!T25</f>
        <v>mberan@lauterbachamen.com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f>COVER!T21</f>
        <v>6303931483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942918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674436</v>
      </c>
      <c r="C91" s="2" t="s">
        <v>594</v>
      </c>
      <c r="D91" s="2" t="str">
        <f t="shared" si="0"/>
        <v>Error?</v>
      </c>
    </row>
    <row r="92" spans="1:4" x14ac:dyDescent="0.2">
      <c r="A92" s="5">
        <v>31</v>
      </c>
      <c r="B92" s="138">
        <f>'Assets-Liab 5-6'!C39</f>
        <v>268482</v>
      </c>
      <c r="D92" s="2" t="str">
        <f t="shared" si="0"/>
        <v>Error?</v>
      </c>
    </row>
    <row r="93" spans="1:4" x14ac:dyDescent="0.2">
      <c r="A93" s="5">
        <v>32</v>
      </c>
      <c r="B93" s="138">
        <f>'Assets-Liab 5-6'!C41</f>
        <v>942918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594</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914087</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966670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36223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36223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216764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216764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13046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13046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266033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1232703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303257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303257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303257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84298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84298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6255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6255</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594</v>
      </c>
      <c r="D850" s="2" t="str">
        <f t="shared" si="12"/>
        <v>Error?</v>
      </c>
    </row>
    <row r="851" spans="1:4" x14ac:dyDescent="0.2">
      <c r="A851" s="5">
        <v>790</v>
      </c>
      <c r="B851" s="138">
        <f>'Expenditures 15-22'!E55</f>
        <v>1357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1357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90498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90498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98110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235991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159020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159020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503</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503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5166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5166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35992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35992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14346</v>
      </c>
      <c r="D928" s="2" t="str">
        <f t="shared" si="13"/>
        <v>Error?</v>
      </c>
    </row>
    <row r="929" spans="1:4" x14ac:dyDescent="0.2">
      <c r="A929" s="5">
        <v>868</v>
      </c>
      <c r="B929" s="138">
        <f>'Expenditures 15-22'!F74</f>
        <v>56007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215027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31773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31773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31773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40760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40760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105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825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930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41690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1549865</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1602448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42981</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42981</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0</v>
      </c>
      <c r="C1122" s="2" t="s">
        <v>594</v>
      </c>
      <c r="D1122" s="2" t="str">
        <f t="shared" si="16"/>
        <v>Error?</v>
      </c>
    </row>
    <row r="1123" spans="1:4" x14ac:dyDescent="0.2">
      <c r="A1123" s="5">
        <v>1062</v>
      </c>
      <c r="B1123" s="138">
        <f>'Expenditures 15-22'!K55</f>
        <v>223392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223392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825</v>
      </c>
      <c r="C1127" s="2" t="s">
        <v>594</v>
      </c>
      <c r="D1127" s="2" t="str">
        <f t="shared" si="16"/>
        <v>Error?</v>
      </c>
    </row>
    <row r="1128" spans="1:4" x14ac:dyDescent="0.2">
      <c r="A1128" s="5">
        <v>1067</v>
      </c>
      <c r="B1128" s="138">
        <f>'Expenditures 15-22'!K61</f>
        <v>139536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140361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14346</v>
      </c>
      <c r="C1142" s="2" t="s">
        <v>594</v>
      </c>
      <c r="D1142" s="2" t="str">
        <f t="shared" si="16"/>
        <v>Error?</v>
      </c>
    </row>
    <row r="1143" spans="1:4" x14ac:dyDescent="0.2">
      <c r="A1143" s="5">
        <v>1082</v>
      </c>
      <c r="B1143" s="138">
        <f>'Expenditures 15-22'!K74</f>
        <v>421080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53583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2077111</v>
      </c>
      <c r="C1152" s="2" t="s">
        <v>594</v>
      </c>
      <c r="D1152" s="2" t="str">
        <f t="shared" si="17"/>
        <v>Error?</v>
      </c>
    </row>
    <row r="1153" spans="1:4" x14ac:dyDescent="0.2">
      <c r="A1153" s="5">
        <v>1092</v>
      </c>
      <c r="B1153" s="138">
        <f>'Expenditures 15-22'!K115</f>
        <v>-54316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322798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268482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53583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1768770</v>
      </c>
      <c r="C2551" s="2" t="s">
        <v>594</v>
      </c>
      <c r="D2551" s="2" t="str">
        <f t="shared" si="38"/>
        <v>Error?</v>
      </c>
    </row>
    <row r="2552" spans="1:4" x14ac:dyDescent="0.2">
      <c r="A2552" s="10">
        <v>2491</v>
      </c>
      <c r="D2552" s="2" t="str">
        <f t="shared" si="38"/>
        <v>OK</v>
      </c>
    </row>
    <row r="2553" spans="1:4" x14ac:dyDescent="0.2">
      <c r="A2553" s="5">
        <v>2492</v>
      </c>
      <c r="B2553" s="138">
        <f>'Acct Summary 7-8'!C6</f>
        <v>254025</v>
      </c>
      <c r="C2553" s="2" t="s">
        <v>594</v>
      </c>
      <c r="D2553" s="2" t="str">
        <f t="shared" si="38"/>
        <v>Error?</v>
      </c>
    </row>
    <row r="2554" spans="1:4" x14ac:dyDescent="0.2">
      <c r="A2554" s="5">
        <v>2493</v>
      </c>
      <c r="B2554" s="138">
        <f>'Acct Summary 7-8'!C7</f>
        <v>0</v>
      </c>
      <c r="C2554" s="2" t="s">
        <v>594</v>
      </c>
      <c r="D2554" s="2" t="str">
        <f t="shared" si="38"/>
        <v>Error?</v>
      </c>
    </row>
    <row r="2555" spans="1:4" x14ac:dyDescent="0.2">
      <c r="A2555" s="5">
        <v>2494</v>
      </c>
      <c r="B2555" s="138">
        <f>'Acct Summary 7-8'!C8</f>
        <v>2022795</v>
      </c>
      <c r="C2555" s="2" t="s">
        <v>594</v>
      </c>
      <c r="D2555" s="2" t="str">
        <f t="shared" si="38"/>
        <v>Error?</v>
      </c>
    </row>
    <row r="2556" spans="1:4" x14ac:dyDescent="0.2">
      <c r="A2556" s="5">
        <v>2495</v>
      </c>
      <c r="B2556" s="138">
        <f>'Acct Summary 7-8'!C12</f>
        <v>1602448</v>
      </c>
      <c r="C2556" s="2" t="s">
        <v>594</v>
      </c>
      <c r="D2556" s="2" t="str">
        <f t="shared" si="38"/>
        <v>Error?</v>
      </c>
    </row>
    <row r="2557" spans="1:4" x14ac:dyDescent="0.2">
      <c r="A2557" s="5">
        <v>2496</v>
      </c>
      <c r="B2557" s="138">
        <f>'Acct Summary 7-8'!C13</f>
        <v>421080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53583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2077111</v>
      </c>
      <c r="C2561" s="2" t="s">
        <v>594</v>
      </c>
      <c r="D2561" s="2" t="str">
        <f t="shared" si="39"/>
        <v>Error?</v>
      </c>
    </row>
    <row r="2562" spans="1:4" x14ac:dyDescent="0.2">
      <c r="A2562" s="5">
        <v>2501</v>
      </c>
      <c r="B2562" s="138">
        <f>'Acct Summary 7-8'!C20</f>
        <v>-54316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53583</v>
      </c>
      <c r="C2789" s="2" t="s">
        <v>594</v>
      </c>
      <c r="D2789" s="2" t="str">
        <f t="shared" si="42"/>
        <v>Error?</v>
      </c>
    </row>
    <row r="2790" spans="1:4" x14ac:dyDescent="0.2">
      <c r="A2790" s="5">
        <v>2729</v>
      </c>
      <c r="B2790" s="138">
        <f>'Expenditures 15-22'!E102</f>
        <v>53583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53583</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53583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-54316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942918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2022795</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2077111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268482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1531919</v>
      </c>
      <c r="D5079" s="2" t="str">
        <f t="shared" si="78"/>
        <v>Error?</v>
      </c>
    </row>
    <row r="5080" spans="1:4" x14ac:dyDescent="0.2">
      <c r="A5080" s="5">
        <v>5019</v>
      </c>
      <c r="B5080" s="138">
        <f>'Revenues 9-14'!C30</f>
        <v>148957</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1680876</v>
      </c>
      <c r="C5087" s="2" t="s">
        <v>594</v>
      </c>
      <c r="D5087" s="2" t="str">
        <f t="shared" si="78"/>
        <v>Error?</v>
      </c>
    </row>
    <row r="5088" spans="1:4" x14ac:dyDescent="0.2">
      <c r="A5088" s="5">
        <v>5027</v>
      </c>
      <c r="B5088" s="138">
        <f>'Revenues 9-14'!C65</f>
        <v>348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24777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24777</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5500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5500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55054</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2215</v>
      </c>
      <c r="D5119" s="2" t="str">
        <f t="shared" ref="D5119:D5182" si="79">IF(ISBLANK(B5119),"OK",IF(A5119-B5119=0,"OK","Error?"))</f>
        <v>Error?</v>
      </c>
    </row>
    <row r="5120" spans="1:4" x14ac:dyDescent="0.2">
      <c r="A5120" s="5">
        <v>5059</v>
      </c>
      <c r="B5120" s="138">
        <f>'Revenues 9-14'!C108</f>
        <v>57269</v>
      </c>
      <c r="C5120" s="2" t="s">
        <v>594</v>
      </c>
      <c r="D5120" s="2" t="str">
        <f t="shared" si="79"/>
        <v>Error?</v>
      </c>
    </row>
    <row r="5121" spans="1:4" x14ac:dyDescent="0.2">
      <c r="A5121" s="5">
        <v>5060</v>
      </c>
      <c r="B5121" s="138">
        <f>'Revenues 9-14'!C109</f>
        <v>1768770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254025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254025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254025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254025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0</v>
      </c>
      <c r="C5326" s="2" t="s">
        <v>594</v>
      </c>
      <c r="D5326" s="2" t="str">
        <f t="shared" si="82"/>
        <v>Error?</v>
      </c>
    </row>
    <row r="5327" spans="1:4" x14ac:dyDescent="0.2">
      <c r="A5327" s="5">
        <v>5266</v>
      </c>
      <c r="B5327" s="138">
        <f>'Revenues 9-14'!C275</f>
        <v>2022795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554899</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119537</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-54316</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-0.20230778972147109</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52583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16670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16670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16670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52583</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16670</v>
      </c>
      <c r="D7624" s="2" t="str">
        <f t="shared" si="124"/>
        <v>Error?</v>
      </c>
      <c r="E7624" s="2" t="s">
        <v>19</v>
      </c>
    </row>
    <row r="7625" spans="1:5" x14ac:dyDescent="0.2">
      <c r="A7625">
        <f t="shared" si="123"/>
        <v>7564</v>
      </c>
      <c r="B7625" s="138">
        <f>'Cap Outlay Deprec 26'!I17</f>
        <v>1667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57000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9" t="str">
        <f>COVER!A17</f>
        <v>Fox Valley Career Center</v>
      </c>
      <c r="B7" s="2400"/>
      <c r="C7" s="2400"/>
      <c r="D7" s="2437"/>
      <c r="E7" s="2438">
        <f>COVER!A13</f>
        <v>31045302041</v>
      </c>
      <c r="F7" s="2439"/>
      <c r="G7" s="2406" t="str">
        <f>COVER!T23</f>
        <v>065-033233</v>
      </c>
      <c r="H7" s="2407"/>
      <c r="I7" s="2407"/>
      <c r="J7" s="2407"/>
      <c r="K7" s="2407"/>
      <c r="L7" s="240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9"/>
      <c r="B9" s="2410"/>
      <c r="C9" s="2410"/>
      <c r="D9" s="2410"/>
      <c r="E9" s="2410"/>
      <c r="F9" s="2411"/>
      <c r="G9" s="2412" t="str">
        <f>COVER!T13</f>
        <v>Lauterbach &amp; Amen, LLP</v>
      </c>
      <c r="H9" s="2413"/>
      <c r="I9" s="2413"/>
      <c r="J9" s="2413"/>
      <c r="K9" s="2413"/>
      <c r="L9" s="2414"/>
    </row>
    <row r="10" spans="1:29" ht="13.5" customHeight="1" x14ac:dyDescent="0.2">
      <c r="A10" s="2396" t="str">
        <f>COVER!A38</f>
        <v>DR. TODD LEDEN</v>
      </c>
      <c r="B10" s="2397"/>
      <c r="C10" s="2397"/>
      <c r="D10" s="2397"/>
      <c r="E10" s="2397"/>
      <c r="F10" s="2398"/>
      <c r="G10" s="2412" t="str">
        <f>COVER!T17</f>
        <v>668 N. River Road</v>
      </c>
      <c r="H10" s="2425"/>
      <c r="I10" s="2425"/>
      <c r="J10" s="2425"/>
      <c r="K10" s="2425"/>
      <c r="L10" s="2426"/>
    </row>
    <row r="11" spans="1:29" ht="13.5" customHeight="1" x14ac:dyDescent="0.2">
      <c r="A11" s="1185" t="s">
        <v>1599</v>
      </c>
      <c r="B11" s="1186"/>
      <c r="C11" s="1187"/>
      <c r="D11" s="1192"/>
      <c r="E11" s="1187"/>
      <c r="F11" s="1191"/>
      <c r="G11" s="2412" t="str">
        <f>COVER!T19</f>
        <v>Naperville</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t="str">
        <f>COVER!T25</f>
        <v>mberan@lauterbachamen.com</v>
      </c>
      <c r="J13" s="2434"/>
      <c r="K13" s="2434"/>
      <c r="L13" s="2435"/>
    </row>
    <row r="14" spans="1:29" ht="13.5" customHeight="1" x14ac:dyDescent="0.2">
      <c r="A14" s="2412" t="str">
        <f>COVER!A19</f>
        <v>47W326 KESLINGER ROAD</v>
      </c>
      <c r="B14" s="2425"/>
      <c r="C14" s="2425"/>
      <c r="D14" s="2425"/>
      <c r="E14" s="2425"/>
      <c r="F14" s="2426"/>
      <c r="G14" s="1196" t="s">
        <v>1247</v>
      </c>
      <c r="H14" s="1194"/>
      <c r="I14" s="1194"/>
      <c r="J14" s="1194"/>
      <c r="K14" s="1194"/>
      <c r="L14" s="1195"/>
    </row>
    <row r="15" spans="1:29" ht="13.5" customHeight="1" x14ac:dyDescent="0.2">
      <c r="A15" s="2412" t="str">
        <f>COVER!A21</f>
        <v>MAPLE PARK</v>
      </c>
      <c r="B15" s="2425"/>
      <c r="C15" s="2425"/>
      <c r="D15" s="2425"/>
      <c r="E15" s="2425"/>
      <c r="F15" s="2426"/>
      <c r="G15" s="2422" t="str">
        <f>COVER!T15</f>
        <v>Matt Beran</v>
      </c>
      <c r="H15" s="2423"/>
      <c r="I15" s="2423"/>
      <c r="J15" s="2423"/>
      <c r="K15" s="2423"/>
      <c r="L15" s="2424"/>
    </row>
    <row r="16" spans="1:29" ht="12.2" customHeight="1" x14ac:dyDescent="0.2">
      <c r="A16" s="2402">
        <f>COVER!A25</f>
        <v>60151</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6" t="s">
        <v>1246</v>
      </c>
      <c r="H17" s="1194"/>
      <c r="I17" s="1194"/>
      <c r="J17" s="1194"/>
      <c r="K17" s="1198" t="s">
        <v>1245</v>
      </c>
      <c r="L17" s="1191"/>
      <c r="M17" s="1184"/>
    </row>
    <row r="18" spans="1:13" ht="12.2" customHeight="1" x14ac:dyDescent="0.2">
      <c r="A18" s="2396"/>
      <c r="B18" s="2397"/>
      <c r="C18" s="2397"/>
      <c r="D18" s="2397"/>
      <c r="E18" s="2397"/>
      <c r="F18" s="2398"/>
      <c r="G18" s="2399">
        <f>COVER!T21</f>
        <v>6303931483</v>
      </c>
      <c r="H18" s="2400"/>
      <c r="I18" s="2400"/>
      <c r="J18" s="2400"/>
      <c r="K18" s="2399">
        <f>COVER!X21</f>
        <v>6303932516</v>
      </c>
      <c r="L18" s="240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0" t="str">
        <f>'Single Audit Cover'!A7</f>
        <v>Fox Valley Career Center</v>
      </c>
      <c r="B1" s="2436"/>
      <c r="C1" s="2436"/>
      <c r="D1" s="2436"/>
    </row>
    <row r="2" spans="1:11" s="1215" customFormat="1" ht="12.75" x14ac:dyDescent="0.2">
      <c r="A2" s="2441">
        <f>'Single Audit Cover'!E7</f>
        <v>31045302041</v>
      </c>
      <c r="B2" s="2442"/>
      <c r="C2" s="2442"/>
      <c r="D2" s="2442"/>
    </row>
    <row r="3" spans="1:11" s="1215" customFormat="1" ht="12.75" x14ac:dyDescent="0.2">
      <c r="A3" s="2440" t="s">
        <v>1593</v>
      </c>
      <c r="B3" s="2436"/>
      <c r="C3" s="2436"/>
      <c r="D3" s="243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4" t="str">
        <f>'Single Audit Cover'!A7</f>
        <v>Fox Valley Career Center</v>
      </c>
      <c r="B1" s="2444"/>
      <c r="C1" s="2444"/>
      <c r="D1" s="2444"/>
      <c r="E1" s="2444"/>
    </row>
    <row r="2" spans="1:5" x14ac:dyDescent="0.2">
      <c r="A2" s="2445">
        <f>'Single Audit Cover'!E7</f>
        <v>31045302041</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60" t="s">
        <v>1305</v>
      </c>
    </row>
    <row r="10" spans="1:5" x14ac:dyDescent="0.2">
      <c r="A10" s="1261" t="s">
        <v>1304</v>
      </c>
      <c r="B10" s="1262" t="s">
        <v>1303</v>
      </c>
      <c r="C10" s="1262"/>
      <c r="D10" s="1263">
        <f>SUM('Acct Summary 7-8'!C7:K7)</f>
        <v>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6"/>
      <c r="B24" s="2446"/>
      <c r="D24" s="1268"/>
    </row>
    <row r="25" spans="1:4" x14ac:dyDescent="0.2">
      <c r="A25" s="2443"/>
      <c r="B25" s="2443"/>
      <c r="D25" s="1268"/>
    </row>
    <row r="26" spans="1:4" x14ac:dyDescent="0.2">
      <c r="A26" s="2443"/>
      <c r="B26" s="2443"/>
      <c r="D26" s="1268"/>
    </row>
    <row r="27" spans="1:4" x14ac:dyDescent="0.2">
      <c r="A27" s="2443"/>
      <c r="B27" s="2443"/>
      <c r="D27" s="1268"/>
    </row>
    <row r="28" spans="1:4" x14ac:dyDescent="0.2">
      <c r="A28" s="2443"/>
      <c r="B28" s="2443"/>
      <c r="D28" s="1268"/>
    </row>
    <row r="29" spans="1:4" x14ac:dyDescent="0.2">
      <c r="A29" s="2443"/>
      <c r="B29" s="2443"/>
      <c r="D29" s="1268"/>
    </row>
    <row r="30" spans="1:4" x14ac:dyDescent="0.2">
      <c r="A30" s="2443"/>
      <c r="B30" s="2443"/>
      <c r="D30" s="1268"/>
    </row>
    <row r="32" spans="1:4" x14ac:dyDescent="0.2">
      <c r="A32" s="1260" t="s">
        <v>1295</v>
      </c>
      <c r="D32" s="1263">
        <f>SUM(D19:D30)</f>
        <v>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3"/>
      <c r="B40" s="2443"/>
      <c r="D40" s="1268"/>
    </row>
    <row r="41" spans="1:4" x14ac:dyDescent="0.2">
      <c r="A41" s="2443"/>
      <c r="B41" s="2443"/>
      <c r="D41" s="1271"/>
    </row>
    <row r="42" spans="1:4" x14ac:dyDescent="0.2">
      <c r="A42" s="2443"/>
      <c r="B42" s="2443"/>
      <c r="D42" s="1271"/>
    </row>
    <row r="43" spans="1:4" x14ac:dyDescent="0.2">
      <c r="A43" s="2443"/>
      <c r="B43" s="2443"/>
      <c r="D43" s="1271"/>
    </row>
    <row r="44" spans="1:4" x14ac:dyDescent="0.2">
      <c r="A44" s="2443"/>
      <c r="B44" s="2443"/>
      <c r="D44" s="1271"/>
    </row>
    <row r="45" spans="1:4" x14ac:dyDescent="0.2">
      <c r="A45" s="2443"/>
      <c r="B45" s="2443"/>
      <c r="D45" s="1271"/>
    </row>
    <row r="47" spans="1:4" x14ac:dyDescent="0.2">
      <c r="B47" s="1272" t="s">
        <v>1289</v>
      </c>
      <c r="C47" s="1272"/>
      <c r="D47" s="1273">
        <f>SUM(D35:D45)</f>
        <v>0</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Fox Valley Career Center</v>
      </c>
      <c r="B1" s="2449"/>
      <c r="C1" s="2449"/>
      <c r="D1" s="2449"/>
      <c r="E1" s="2449"/>
      <c r="F1" s="2449"/>
    </row>
    <row r="2" spans="1:7" ht="13.5" customHeight="1" x14ac:dyDescent="0.2">
      <c r="A2" s="2450">
        <f>'Single Audit Cover'!E7</f>
        <v>31045302041</v>
      </c>
      <c r="B2" s="2450"/>
      <c r="C2" s="2450"/>
      <c r="D2" s="2450"/>
      <c r="E2" s="2450"/>
      <c r="F2" s="2450"/>
      <c r="G2" s="1275"/>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7"/>
      <c r="D5" s="317"/>
    </row>
    <row r="6" spans="1:7" ht="13.5" customHeight="1" x14ac:dyDescent="0.2">
      <c r="A6" s="1276" t="s">
        <v>1831</v>
      </c>
      <c r="C6" s="317"/>
      <c r="D6" s="317"/>
    </row>
    <row r="7" spans="1:7" ht="60.95" customHeight="1" x14ac:dyDescent="0.2">
      <c r="A7" s="2448" t="s">
        <v>1832</v>
      </c>
      <c r="B7" s="2448"/>
      <c r="C7" s="2448"/>
      <c r="D7" s="2448"/>
      <c r="E7" s="2448"/>
      <c r="F7" s="244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8" t="s">
        <v>1834</v>
      </c>
      <c r="B13" s="2448"/>
      <c r="C13" s="2448"/>
      <c r="D13" s="2448"/>
      <c r="E13" s="2448"/>
      <c r="F13" s="2448"/>
    </row>
    <row r="14" spans="1:7" ht="9.75" customHeight="1" x14ac:dyDescent="0.2">
      <c r="C14" s="1260"/>
      <c r="D14" s="1260"/>
    </row>
    <row r="15" spans="1:7" ht="13.5" customHeight="1" x14ac:dyDescent="0.2">
      <c r="C15" s="1871" t="s">
        <v>1332</v>
      </c>
      <c r="D15" s="2454" t="s">
        <v>1331</v>
      </c>
      <c r="E15" s="2454"/>
      <c r="F15" s="2454"/>
    </row>
    <row r="16" spans="1:7" ht="13.5" customHeight="1" x14ac:dyDescent="0.2">
      <c r="A16" s="1282"/>
      <c r="B16" s="1276" t="s">
        <v>1330</v>
      </c>
      <c r="C16" s="1871" t="s">
        <v>1329</v>
      </c>
      <c r="D16" s="2455" t="s">
        <v>1670</v>
      </c>
      <c r="E16" s="2455"/>
      <c r="F16" s="2455"/>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7" t="s">
        <v>1835</v>
      </c>
      <c r="B32" s="2457"/>
      <c r="C32" s="2457"/>
      <c r="D32" s="2457"/>
      <c r="E32" s="2457"/>
      <c r="F32" s="2457"/>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8">
        <f>+C33+C34</f>
        <v>0</v>
      </c>
      <c r="F34" s="245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Fox Valley Career Center</v>
      </c>
      <c r="C1" s="2461"/>
      <c r="D1" s="2461"/>
      <c r="E1" s="2461"/>
      <c r="F1" s="2461"/>
      <c r="G1" s="2461"/>
      <c r="H1" s="2461"/>
      <c r="I1" s="2461"/>
      <c r="J1" s="2461"/>
      <c r="K1" s="2461"/>
      <c r="L1" s="2461"/>
      <c r="M1" s="2461"/>
    </row>
    <row r="2" spans="2:14" ht="15" x14ac:dyDescent="0.2">
      <c r="B2" s="2450">
        <f>'Single Audit Cover'!E7</f>
        <v>31045302041</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43342</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Fox Valley Career Center</v>
      </c>
      <c r="C1" s="2469"/>
      <c r="D1" s="2469"/>
      <c r="E1" s="2469"/>
      <c r="F1" s="2469"/>
      <c r="G1" s="2469"/>
      <c r="H1" s="2469"/>
      <c r="I1" s="2469"/>
      <c r="J1" s="1422"/>
    </row>
    <row r="2" spans="2:10" s="317" customFormat="1" ht="12.75" customHeight="1" x14ac:dyDescent="0.2">
      <c r="B2" s="2470">
        <f>'Single Audit Cover'!E7</f>
        <v>31045302041</v>
      </c>
      <c r="C2" s="2471"/>
      <c r="D2" s="2471"/>
      <c r="E2" s="2471"/>
      <c r="F2" s="2471"/>
      <c r="G2" s="2471"/>
      <c r="H2" s="2471"/>
      <c r="I2" s="2471"/>
      <c r="J2" s="1422"/>
    </row>
    <row r="3" spans="2:10" s="317" customFormat="1" ht="12.75" customHeight="1" x14ac:dyDescent="0.2">
      <c r="B3" s="2472" t="s">
        <v>1347</v>
      </c>
      <c r="C3" s="2473"/>
      <c r="D3" s="2473"/>
      <c r="E3" s="2473"/>
      <c r="F3" s="2473"/>
      <c r="G3" s="2473"/>
      <c r="H3" s="2473"/>
      <c r="I3" s="2473"/>
      <c r="J3" s="1423"/>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2" t="s">
        <v>1346</v>
      </c>
      <c r="C7" s="2473"/>
      <c r="D7" s="2473"/>
      <c r="E7" s="2473"/>
      <c r="F7" s="2473"/>
      <c r="G7" s="2473"/>
      <c r="H7" s="2473"/>
      <c r="I7" s="247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4"/>
      <c r="D11" s="247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5"/>
      <c r="E29" s="2475"/>
      <c r="F29" s="2475"/>
      <c r="G29" s="2475"/>
      <c r="H29" s="2475"/>
      <c r="I29" s="247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6" t="s">
        <v>1854</v>
      </c>
      <c r="D37" s="2477"/>
      <c r="E37" s="2477"/>
      <c r="F37" s="2478"/>
      <c r="G37" s="2476" t="s">
        <v>1674</v>
      </c>
      <c r="H37" s="2477"/>
      <c r="I37" s="2478"/>
    </row>
    <row r="38" spans="2:9" ht="16.5" customHeight="1" x14ac:dyDescent="0.2">
      <c r="B38" s="1444"/>
      <c r="C38" s="2464"/>
      <c r="D38" s="2465"/>
      <c r="E38" s="2465"/>
      <c r="F38" s="2466"/>
      <c r="G38" s="2479"/>
      <c r="H38" s="2480"/>
      <c r="I38" s="2481"/>
    </row>
    <row r="39" spans="2:9" ht="16.5" customHeight="1" x14ac:dyDescent="0.2">
      <c r="B39" s="1444"/>
      <c r="C39" s="2464"/>
      <c r="D39" s="2465"/>
      <c r="E39" s="2465"/>
      <c r="F39" s="2466"/>
      <c r="G39" s="2467"/>
      <c r="H39" s="2467"/>
      <c r="I39" s="2467"/>
    </row>
    <row r="40" spans="2:9" ht="16.5" customHeight="1" x14ac:dyDescent="0.2">
      <c r="B40" s="1444"/>
      <c r="C40" s="2464"/>
      <c r="D40" s="2465"/>
      <c r="E40" s="2465"/>
      <c r="F40" s="2466"/>
      <c r="G40" s="2467"/>
      <c r="H40" s="2467"/>
      <c r="I40" s="2467"/>
    </row>
    <row r="41" spans="2:9" ht="16.5" customHeight="1" x14ac:dyDescent="0.2">
      <c r="B41" s="1444"/>
      <c r="C41" s="2464"/>
      <c r="D41" s="2465"/>
      <c r="E41" s="2465"/>
      <c r="F41" s="2466"/>
      <c r="G41" s="2467"/>
      <c r="H41" s="2467"/>
      <c r="I41" s="2467"/>
    </row>
    <row r="42" spans="2:9" ht="16.5" customHeight="1" x14ac:dyDescent="0.2">
      <c r="B42" s="1444"/>
      <c r="C42" s="2464"/>
      <c r="D42" s="2465"/>
      <c r="E42" s="2465"/>
      <c r="F42" s="2466"/>
      <c r="G42" s="2467"/>
      <c r="H42" s="2467"/>
      <c r="I42" s="2467"/>
    </row>
    <row r="43" spans="2:9" ht="16.5" customHeight="1" x14ac:dyDescent="0.2">
      <c r="B43" s="1444"/>
      <c r="C43" s="2482" t="s">
        <v>1675</v>
      </c>
      <c r="D43" s="2483"/>
      <c r="E43" s="2483"/>
      <c r="F43" s="2484"/>
      <c r="G43" s="2485">
        <f>SUM(G38:I42)</f>
        <v>0</v>
      </c>
      <c r="H43" s="2485"/>
      <c r="I43" s="2485"/>
    </row>
    <row r="44" spans="2:9" ht="12.75" customHeight="1" x14ac:dyDescent="0.2"/>
    <row r="45" spans="2:9" ht="12.75" customHeight="1" x14ac:dyDescent="0.2">
      <c r="B45" s="1435" t="s">
        <v>1952</v>
      </c>
      <c r="D45" s="2486">
        <v>0</v>
      </c>
      <c r="E45" s="2487"/>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8"/>
      <c r="F49" s="2488"/>
      <c r="G49" s="2488"/>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Fox Valley Career Center</v>
      </c>
      <c r="C1" s="2468"/>
      <c r="D1" s="2468"/>
      <c r="E1" s="2468"/>
      <c r="F1" s="2468"/>
      <c r="G1" s="2468"/>
      <c r="H1" s="2468"/>
      <c r="I1" s="2468"/>
      <c r="J1" s="2468"/>
      <c r="K1" s="2468"/>
      <c r="L1" s="1374"/>
      <c r="M1" s="1374"/>
    </row>
    <row r="2" spans="1:13" ht="12" customHeight="1" x14ac:dyDescent="0.2">
      <c r="B2" s="2470">
        <f>'Single Audit Cover'!E7</f>
        <v>31045302041</v>
      </c>
      <c r="C2" s="2470"/>
      <c r="D2" s="2470"/>
      <c r="E2" s="2470"/>
      <c r="F2" s="2470"/>
      <c r="G2" s="2470"/>
      <c r="H2" s="2470"/>
      <c r="I2" s="2470"/>
      <c r="J2" s="2470"/>
      <c r="K2" s="2470"/>
      <c r="L2" s="1375"/>
      <c r="M2" s="1376"/>
    </row>
    <row r="3" spans="1:13" ht="10.35" customHeight="1" x14ac:dyDescent="0.2">
      <c r="B3" s="2491" t="s">
        <v>1347</v>
      </c>
      <c r="C3" s="2491"/>
      <c r="D3" s="2491"/>
      <c r="E3" s="2491"/>
      <c r="F3" s="2491"/>
      <c r="G3" s="2491"/>
      <c r="H3" s="2491"/>
      <c r="I3" s="2491"/>
      <c r="J3" s="2491"/>
      <c r="K3" s="2491"/>
      <c r="L3" s="1377"/>
      <c r="M3" s="1377"/>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2" t="s">
        <v>1363</v>
      </c>
      <c r="C7" s="2492"/>
      <c r="D7" s="2493"/>
      <c r="E7" s="2493"/>
      <c r="F7" s="2493"/>
      <c r="G7" s="2493"/>
      <c r="H7" s="2493"/>
      <c r="I7" s="2493"/>
      <c r="J7" s="2493"/>
      <c r="K7" s="249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0"/>
      <c r="C14" s="2490"/>
      <c r="D14" s="2490"/>
      <c r="E14" s="2490"/>
      <c r="F14" s="2490"/>
      <c r="G14" s="2490"/>
      <c r="H14" s="2490"/>
      <c r="I14" s="2490"/>
      <c r="J14" s="2490"/>
      <c r="K14" s="249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0"/>
      <c r="C17" s="2490"/>
      <c r="D17" s="2490"/>
      <c r="E17" s="2490"/>
      <c r="F17" s="2490"/>
      <c r="G17" s="2490"/>
      <c r="H17" s="2490"/>
      <c r="I17" s="2490"/>
      <c r="J17" s="2490"/>
      <c r="K17" s="2490"/>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4"/>
      <c r="C20" s="2494"/>
      <c r="D20" s="2490"/>
      <c r="E20" s="2490"/>
      <c r="F20" s="2490"/>
      <c r="G20" s="2490"/>
      <c r="H20" s="2490"/>
      <c r="I20" s="2490"/>
      <c r="J20" s="2490"/>
      <c r="K20" s="249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0"/>
      <c r="C23" s="2490"/>
      <c r="D23" s="2490"/>
      <c r="E23" s="2490"/>
      <c r="F23" s="2490"/>
      <c r="G23" s="2490"/>
      <c r="H23" s="2490"/>
      <c r="I23" s="2490"/>
      <c r="J23" s="2490"/>
      <c r="K23" s="249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0"/>
      <c r="C26" s="2490"/>
      <c r="D26" s="2490"/>
      <c r="E26" s="2490"/>
      <c r="F26" s="2490"/>
      <c r="G26" s="2490"/>
      <c r="H26" s="2490"/>
      <c r="I26" s="2490"/>
      <c r="J26" s="2490"/>
      <c r="K26" s="249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9"/>
      <c r="C29" s="2489"/>
      <c r="D29" s="2490"/>
      <c r="E29" s="2490"/>
      <c r="F29" s="2490"/>
      <c r="G29" s="2490"/>
      <c r="H29" s="2490"/>
      <c r="I29" s="2490"/>
      <c r="J29" s="2490"/>
      <c r="K29" s="249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9"/>
      <c r="C32" s="2489"/>
      <c r="D32" s="2490"/>
      <c r="E32" s="2490"/>
      <c r="F32" s="2490"/>
      <c r="G32" s="2490"/>
      <c r="H32" s="2490"/>
      <c r="I32" s="2490"/>
      <c r="J32" s="2490"/>
      <c r="K32" s="249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Fox Valley Career Center</v>
      </c>
      <c r="C1" s="2495"/>
      <c r="D1" s="2495"/>
      <c r="E1" s="2495"/>
      <c r="F1" s="2495"/>
      <c r="G1" s="2495"/>
      <c r="H1" s="2495"/>
      <c r="I1" s="2495"/>
      <c r="J1" s="2495"/>
      <c r="K1" s="2495"/>
      <c r="L1" s="1465"/>
    </row>
    <row r="2" spans="1:12" ht="12.75" customHeight="1" x14ac:dyDescent="0.2">
      <c r="B2" s="2496">
        <f>'Single Audit Cover'!E7</f>
        <v>31045302041</v>
      </c>
      <c r="C2" s="2496"/>
      <c r="D2" s="2496"/>
      <c r="E2" s="2496"/>
      <c r="F2" s="2496"/>
      <c r="G2" s="2496"/>
      <c r="H2" s="2496"/>
      <c r="I2" s="2496"/>
      <c r="J2" s="2496"/>
      <c r="K2" s="2496"/>
      <c r="L2" s="1466"/>
    </row>
    <row r="3" spans="1:12" ht="12.75" customHeight="1" x14ac:dyDescent="0.2">
      <c r="B3" s="2491" t="s">
        <v>1347</v>
      </c>
      <c r="C3" s="2491"/>
      <c r="D3" s="2491"/>
      <c r="E3" s="2491"/>
      <c r="F3" s="2491"/>
      <c r="G3" s="2491"/>
      <c r="H3" s="2491"/>
      <c r="I3" s="2491"/>
      <c r="J3" s="2491"/>
      <c r="K3" s="2491"/>
      <c r="L3" s="1377"/>
    </row>
    <row r="4" spans="1:12" ht="12.75" customHeight="1" x14ac:dyDescent="0.2">
      <c r="B4" s="2491" t="str">
        <f>'Single Audit Cover'!A4</f>
        <v>Year Ending June 30, 2018</v>
      </c>
      <c r="C4" s="2491"/>
      <c r="D4" s="2491"/>
      <c r="E4" s="2491"/>
      <c r="F4" s="2491"/>
      <c r="G4" s="2491"/>
      <c r="H4" s="2491"/>
      <c r="I4" s="2491"/>
      <c r="J4" s="2491"/>
      <c r="K4" s="2491"/>
      <c r="L4" s="1377"/>
    </row>
    <row r="5" spans="1:12" ht="5.25" customHeight="1" x14ac:dyDescent="0.2">
      <c r="B5" s="1260" t="s">
        <v>1231</v>
      </c>
      <c r="C5" s="1260"/>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5"/>
      <c r="G12" s="2475"/>
      <c r="H12" s="2475"/>
      <c r="I12" s="2475"/>
      <c r="J12" s="2475"/>
      <c r="K12" s="247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0"/>
      <c r="C20" s="2490"/>
      <c r="D20" s="2490"/>
      <c r="E20" s="2490"/>
      <c r="F20" s="2490"/>
      <c r="G20" s="2490"/>
      <c r="H20" s="2490"/>
      <c r="I20" s="2490"/>
      <c r="J20" s="2490"/>
      <c r="K20" s="249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8" t="str">
        <f>'Single Audit Cover'!A7</f>
        <v>Fox Valley Career Center</v>
      </c>
      <c r="C1" s="2468"/>
      <c r="D1" s="2468"/>
      <c r="E1" s="1491"/>
    </row>
    <row r="2" spans="2:5" s="1282" customFormat="1" ht="12.75" customHeight="1" x14ac:dyDescent="0.2">
      <c r="B2" s="2470">
        <f>'Single Audit Cover'!E7</f>
        <v>31045302041</v>
      </c>
      <c r="C2" s="2470"/>
      <c r="D2" s="2470"/>
      <c r="E2" s="1492"/>
    </row>
    <row r="3" spans="2:5" ht="12.75" customHeight="1" x14ac:dyDescent="0.2">
      <c r="B3" s="2491" t="s">
        <v>1869</v>
      </c>
      <c r="C3" s="2491"/>
      <c r="D3" s="2491"/>
      <c r="E3" s="1274"/>
    </row>
    <row r="4" spans="2:5" s="1282" customFormat="1" ht="12.75" customHeight="1" x14ac:dyDescent="0.2">
      <c r="B4" s="2501" t="str">
        <f>'Single Audit Cover'!A4</f>
        <v>Year Ending June 30, 2018</v>
      </c>
      <c r="C4" s="2501"/>
      <c r="D4" s="2501"/>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2022795</v>
      </c>
      <c r="E16" s="356"/>
      <c r="F16" s="1755">
        <f>SUM('Acct Summary 7-8'!C17,'Acct Summary 7-8'!D17,'Acct Summary 7-8'!F17)</f>
        <v>2077111</v>
      </c>
      <c r="G16" s="356"/>
      <c r="H16" s="1755">
        <f>SUM(D16-F16)</f>
        <v>-54316</v>
      </c>
      <c r="I16" s="222"/>
      <c r="J16" s="1755">
        <f>SUM('Acct Summary 7-8'!C81,'Acct Summary 7-8'!D81,'Acct Summary 7-8'!F81,'Acct Summary 7-8'!I81)</f>
        <v>268482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Fox Valley Career Center</v>
      </c>
      <c r="E7" s="391"/>
      <c r="G7" s="252"/>
      <c r="H7" s="387"/>
      <c r="I7" s="387"/>
      <c r="J7" s="387"/>
      <c r="K7" s="387"/>
      <c r="L7" s="329"/>
      <c r="M7" s="329"/>
      <c r="N7" s="329"/>
      <c r="O7" s="329"/>
      <c r="P7" s="329"/>
    </row>
    <row r="8" spans="1:18" ht="12.75" x14ac:dyDescent="0.2">
      <c r="A8" s="329"/>
      <c r="B8" s="329"/>
      <c r="C8" s="389" t="s">
        <v>1187</v>
      </c>
      <c r="D8" s="392">
        <f>COVER!A13</f>
        <v>31045302041</v>
      </c>
      <c r="E8" s="393"/>
      <c r="G8" s="329"/>
      <c r="H8" s="329"/>
      <c r="I8" s="329"/>
      <c r="J8" s="329"/>
      <c r="K8" s="329"/>
      <c r="L8" s="329"/>
      <c r="M8" s="329"/>
      <c r="N8" s="329"/>
      <c r="O8" s="329"/>
      <c r="P8" s="329"/>
    </row>
    <row r="9" spans="1:18" ht="12.75" x14ac:dyDescent="0.2">
      <c r="A9" s="329"/>
      <c r="B9" s="329"/>
      <c r="C9" s="389" t="s">
        <v>737</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268482</v>
      </c>
      <c r="I12" s="404"/>
      <c r="J12" s="404"/>
      <c r="K12" s="405">
        <f>TRUNC((H12/H13*100000),5)/100000</f>
        <v>0.13272822989999999</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2022795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2077111</v>
      </c>
      <c r="I17" s="404"/>
      <c r="J17" s="416"/>
      <c r="K17" s="405">
        <f>TRUNC((H17/H18*100000),5)/100000</f>
        <v>1.0268519547999999</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2022795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1.2188397</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942918</v>
      </c>
      <c r="I24" s="422"/>
      <c r="J24" s="422"/>
      <c r="K24" s="423">
        <f>TRUNC(((H24/H25*100000)/100000),2)</f>
        <v>163.41999999999999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5769.7527799999998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7" sqref="A47"/>
      <selection pane="bottomLeft" activeCell="A16" sqref="A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942918</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942918</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0</v>
      </c>
      <c r="N23" s="1710">
        <f>SUM(N21:N22)</f>
        <v>0</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554899</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119537</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674436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268482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c r="N40" s="497"/>
    </row>
    <row r="41" spans="1:14" ht="13.5" customHeight="1" thickBot="1" x14ac:dyDescent="0.25">
      <c r="A41" s="1758" t="s">
        <v>676</v>
      </c>
      <c r="B41" s="1728"/>
      <c r="C41" s="1710">
        <f>(SUM(C34,C37,C38,C39))</f>
        <v>942918</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18"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1954" t="s">
        <v>1579</v>
      </c>
      <c r="B4" s="1955">
        <v>1000</v>
      </c>
      <c r="C4" s="1764">
        <f>'Revenues 9-14'!C109</f>
        <v>1768770</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254025</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2022795</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2022795</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1602448</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421080</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53583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2077111</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2077111</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1" t="s">
        <v>1754</v>
      </c>
      <c r="B20" s="2142"/>
      <c r="C20" s="1768">
        <f>C8-C17</f>
        <v>-54316</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5" t="s">
        <v>392</v>
      </c>
      <c r="B44" s="2156"/>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1" t="s">
        <v>460</v>
      </c>
      <c r="B76" s="2132"/>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3" t="s">
        <v>1239</v>
      </c>
      <c r="B77" s="2134"/>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7" t="s">
        <v>618</v>
      </c>
      <c r="B78" s="2138"/>
      <c r="C78" s="1724">
        <f t="shared" ref="C78:K78" si="9">C20+C77</f>
        <v>-54316</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322798</v>
      </c>
      <c r="D79" s="535"/>
      <c r="E79" s="535"/>
      <c r="F79" s="535"/>
      <c r="G79" s="535"/>
      <c r="H79" s="535"/>
      <c r="I79" s="535"/>
      <c r="J79" s="535"/>
      <c r="K79" s="535"/>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268482</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-54316</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-0.20230778972147109</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1531919</v>
      </c>
      <c r="D29" s="468"/>
      <c r="E29" s="468"/>
      <c r="F29" s="468"/>
      <c r="G29" s="468"/>
      <c r="H29" s="468"/>
      <c r="I29" s="468"/>
      <c r="J29" s="468"/>
      <c r="K29" s="468"/>
    </row>
    <row r="30" spans="1:11" ht="12.75" customHeight="1" x14ac:dyDescent="0.2">
      <c r="A30" s="463" t="s">
        <v>1084</v>
      </c>
      <c r="B30" s="470">
        <v>1333</v>
      </c>
      <c r="C30" s="551">
        <v>148957</v>
      </c>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1680876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348</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348</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24777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24777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5500</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5500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v>55054</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2215</v>
      </c>
      <c r="D107" s="466"/>
      <c r="E107" s="466"/>
      <c r="F107" s="466"/>
      <c r="G107" s="466"/>
      <c r="H107" s="466"/>
      <c r="I107" s="466"/>
      <c r="J107" s="467"/>
      <c r="K107" s="466"/>
    </row>
    <row r="108" spans="1:12" ht="12.75" customHeight="1" thickBot="1" x14ac:dyDescent="0.25">
      <c r="A108" s="1730" t="s">
        <v>508</v>
      </c>
      <c r="B108" s="1734"/>
      <c r="C108" s="1729">
        <f>SUM(C95:C107)</f>
        <v>57269</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1768770</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254025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254025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59" t="s">
        <v>418</v>
      </c>
      <c r="B172" s="2160"/>
      <c r="C172" s="1744">
        <f t="shared" ref="C172:K172" si="6">SUM(C131,C140,C144,C145:C149,C154,C155:C170,C171)</f>
        <v>254025</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254025</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1" t="s">
        <v>1572</v>
      </c>
      <c r="B175" s="216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5" t="s">
        <v>1764</v>
      </c>
      <c r="B178" s="216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69" t="s">
        <v>1763</v>
      </c>
      <c r="B179" s="217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7" t="s">
        <v>818</v>
      </c>
      <c r="B184" s="216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3" t="s">
        <v>1906</v>
      </c>
      <c r="B185" s="216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2022795</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98" activePane="bottomLeft" state="frozen"/>
      <selection activeCell="A47" sqref="A47"/>
      <selection pane="bottomLeft" activeCell="H111" sqref="H11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v>52583</v>
      </c>
      <c r="D9" s="467"/>
      <c r="E9" s="467"/>
      <c r="F9" s="467"/>
      <c r="G9" s="467"/>
      <c r="H9" s="467"/>
      <c r="I9" s="467"/>
      <c r="J9" s="467"/>
      <c r="K9" s="1693">
        <f t="shared" si="0"/>
        <v>52583</v>
      </c>
      <c r="L9" s="466">
        <v>47400</v>
      </c>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914087</v>
      </c>
      <c r="D13" s="466">
        <v>303257</v>
      </c>
      <c r="E13" s="466">
        <v>84298</v>
      </c>
      <c r="F13" s="466">
        <v>159020</v>
      </c>
      <c r="G13" s="466">
        <v>31773</v>
      </c>
      <c r="H13" s="466">
        <v>40760</v>
      </c>
      <c r="I13" s="467">
        <v>16670</v>
      </c>
      <c r="J13" s="467"/>
      <c r="K13" s="1693">
        <f t="shared" si="0"/>
        <v>1549865</v>
      </c>
      <c r="L13" s="466">
        <f>1641129+29373</f>
        <v>1670502</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966670</v>
      </c>
      <c r="D33" s="1692">
        <f t="shared" ref="D33:L33" si="1">SUM(D5:D32)</f>
        <v>303257</v>
      </c>
      <c r="E33" s="1692">
        <f t="shared" si="1"/>
        <v>84298</v>
      </c>
      <c r="F33" s="1692">
        <f t="shared" si="1"/>
        <v>159020</v>
      </c>
      <c r="G33" s="1692">
        <f t="shared" si="1"/>
        <v>31773</v>
      </c>
      <c r="H33" s="1692">
        <f t="shared" si="1"/>
        <v>40760</v>
      </c>
      <c r="I33" s="1692">
        <f t="shared" si="1"/>
        <v>16670</v>
      </c>
      <c r="J33" s="1692">
        <f t="shared" si="1"/>
        <v>0</v>
      </c>
      <c r="K33" s="1692">
        <f t="shared" si="1"/>
        <v>1602448</v>
      </c>
      <c r="L33" s="1692">
        <f t="shared" si="1"/>
        <v>1717902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36223</v>
      </c>
      <c r="D37" s="466"/>
      <c r="E37" s="466">
        <v>6255</v>
      </c>
      <c r="F37" s="466">
        <v>503</v>
      </c>
      <c r="G37" s="466"/>
      <c r="H37" s="466"/>
      <c r="I37" s="467"/>
      <c r="J37" s="467"/>
      <c r="K37" s="1693">
        <f t="shared" si="2"/>
        <v>42981</v>
      </c>
      <c r="L37" s="466">
        <v>47455</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36223</v>
      </c>
      <c r="D42" s="1692">
        <f t="shared" ref="D42:L42" si="3">SUM(D36:D41)</f>
        <v>0</v>
      </c>
      <c r="E42" s="1692">
        <f t="shared" si="3"/>
        <v>6255</v>
      </c>
      <c r="F42" s="1692">
        <f t="shared" si="3"/>
        <v>503</v>
      </c>
      <c r="G42" s="1692">
        <f t="shared" si="3"/>
        <v>0</v>
      </c>
      <c r="H42" s="1692">
        <f t="shared" si="3"/>
        <v>0</v>
      </c>
      <c r="I42" s="1692">
        <f t="shared" si="3"/>
        <v>0</v>
      </c>
      <c r="J42" s="1692">
        <f t="shared" si="3"/>
        <v>0</v>
      </c>
      <c r="K42" s="1692">
        <f t="shared" si="3"/>
        <v>42981</v>
      </c>
      <c r="L42" s="1692">
        <f t="shared" si="3"/>
        <v>47455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v>3750</v>
      </c>
    </row>
    <row r="46" spans="1:14" x14ac:dyDescent="0.2">
      <c r="A46" s="1526" t="s">
        <v>870</v>
      </c>
      <c r="B46" s="615">
        <v>2230</v>
      </c>
      <c r="C46" s="466"/>
      <c r="D46" s="466"/>
      <c r="E46" s="466"/>
      <c r="F46" s="466"/>
      <c r="G46" s="466"/>
      <c r="H46" s="466"/>
      <c r="I46" s="467"/>
      <c r="J46" s="467"/>
      <c r="K46" s="1694">
        <f>SUM(C46:J46)</f>
        <v>0</v>
      </c>
      <c r="L46" s="466">
        <v>6500</v>
      </c>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10250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0</v>
      </c>
      <c r="D53" s="1692">
        <f t="shared" ref="D53:L53" si="5">SUM(D49:D52)</f>
        <v>0</v>
      </c>
      <c r="E53" s="1692">
        <f t="shared" si="5"/>
        <v>0</v>
      </c>
      <c r="F53" s="1692">
        <f t="shared" si="5"/>
        <v>0</v>
      </c>
      <c r="G53" s="1692">
        <f t="shared" si="5"/>
        <v>0</v>
      </c>
      <c r="H53" s="1692">
        <f t="shared" si="5"/>
        <v>0</v>
      </c>
      <c r="I53" s="1692">
        <f t="shared" si="5"/>
        <v>0</v>
      </c>
      <c r="J53" s="1692">
        <f t="shared" si="5"/>
        <v>0</v>
      </c>
      <c r="K53" s="1692">
        <f t="shared" si="5"/>
        <v>0</v>
      </c>
      <c r="L53" s="1692">
        <f t="shared" si="5"/>
        <v>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216764</v>
      </c>
      <c r="D55" s="481"/>
      <c r="E55" s="481">
        <v>1357</v>
      </c>
      <c r="F55" s="481">
        <v>5166</v>
      </c>
      <c r="G55" s="481"/>
      <c r="H55" s="481">
        <v>105</v>
      </c>
      <c r="I55" s="467"/>
      <c r="J55" s="467"/>
      <c r="K55" s="1694">
        <f>SUM(C55:J55)</f>
        <v>223392</v>
      </c>
      <c r="L55" s="481">
        <v>222100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216764</v>
      </c>
      <c r="D57" s="1696">
        <f t="shared" ref="D57:K57" si="6">SUM(D55:D56)</f>
        <v>0</v>
      </c>
      <c r="E57" s="1696">
        <f t="shared" si="6"/>
        <v>1357</v>
      </c>
      <c r="F57" s="1696">
        <f t="shared" si="6"/>
        <v>5166</v>
      </c>
      <c r="G57" s="1696">
        <f t="shared" si="6"/>
        <v>0</v>
      </c>
      <c r="H57" s="1696">
        <f t="shared" si="6"/>
        <v>105</v>
      </c>
      <c r="I57" s="1696">
        <f t="shared" si="6"/>
        <v>0</v>
      </c>
      <c r="J57" s="1696">
        <f t="shared" si="6"/>
        <v>0</v>
      </c>
      <c r="K57" s="1696">
        <f t="shared" si="6"/>
        <v>223392</v>
      </c>
      <c r="L57" s="1692">
        <f>SUM(L55:L56)</f>
        <v>222100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v>825</v>
      </c>
      <c r="I60" s="467"/>
      <c r="J60" s="467"/>
      <c r="K60" s="1694">
        <f t="shared" si="7"/>
        <v>825</v>
      </c>
      <c r="L60" s="466">
        <v>7725</v>
      </c>
      <c r="M60" s="610"/>
      <c r="N60" s="610"/>
    </row>
    <row r="61" spans="1:14" s="343" customFormat="1" x14ac:dyDescent="0.2">
      <c r="A61" s="1526" t="s">
        <v>206</v>
      </c>
      <c r="B61" s="615">
        <v>2540</v>
      </c>
      <c r="C61" s="466">
        <v>13046</v>
      </c>
      <c r="D61" s="466"/>
      <c r="E61" s="466">
        <v>90498</v>
      </c>
      <c r="F61" s="466">
        <v>35992</v>
      </c>
      <c r="G61" s="466"/>
      <c r="H61" s="466"/>
      <c r="I61" s="467"/>
      <c r="J61" s="467"/>
      <c r="K61" s="1694">
        <f t="shared" si="7"/>
        <v>139536</v>
      </c>
      <c r="L61" s="466">
        <v>147833</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13046</v>
      </c>
      <c r="D65" s="1692">
        <f t="shared" ref="D65:L65" si="8">SUM(D59:D64)</f>
        <v>0</v>
      </c>
      <c r="E65" s="1692">
        <f t="shared" si="8"/>
        <v>90498</v>
      </c>
      <c r="F65" s="1692">
        <f t="shared" si="8"/>
        <v>35992</v>
      </c>
      <c r="G65" s="1692">
        <f t="shared" si="8"/>
        <v>0</v>
      </c>
      <c r="H65" s="1692">
        <f t="shared" si="8"/>
        <v>825</v>
      </c>
      <c r="I65" s="1692">
        <f t="shared" si="8"/>
        <v>0</v>
      </c>
      <c r="J65" s="1692">
        <f t="shared" si="8"/>
        <v>0</v>
      </c>
      <c r="K65" s="1692">
        <f t="shared" si="8"/>
        <v>140361</v>
      </c>
      <c r="L65" s="1692">
        <f t="shared" si="8"/>
        <v>155558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14346</v>
      </c>
      <c r="G73" s="573"/>
      <c r="H73" s="573"/>
      <c r="I73" s="531"/>
      <c r="J73" s="531"/>
      <c r="K73" s="1692">
        <f>SUM(C73:J73)</f>
        <v>14346</v>
      </c>
      <c r="L73" s="576"/>
      <c r="M73" s="610"/>
      <c r="N73" s="610"/>
    </row>
    <row r="74" spans="1:14" ht="12.75" customHeight="1" thickTop="1" thickBot="1" x14ac:dyDescent="0.25">
      <c r="A74" s="1690" t="s">
        <v>865</v>
      </c>
      <c r="B74" s="1698">
        <v>2000</v>
      </c>
      <c r="C74" s="1699">
        <f>SUM(C42,C47,C53,C57,C65,C72,C73)</f>
        <v>266033</v>
      </c>
      <c r="D74" s="1699">
        <f t="shared" ref="D74:K74" si="10">SUM(D42,D47,D53,D57,D65,D72,D73)</f>
        <v>0</v>
      </c>
      <c r="E74" s="1699">
        <f t="shared" si="10"/>
        <v>98110</v>
      </c>
      <c r="F74" s="1699">
        <f t="shared" si="10"/>
        <v>56007</v>
      </c>
      <c r="G74" s="1699">
        <f t="shared" si="10"/>
        <v>0</v>
      </c>
      <c r="H74" s="1699">
        <f t="shared" si="10"/>
        <v>930</v>
      </c>
      <c r="I74" s="1699">
        <f t="shared" si="10"/>
        <v>0</v>
      </c>
      <c r="J74" s="1699">
        <f t="shared" si="10"/>
        <v>0</v>
      </c>
      <c r="K74" s="1699">
        <f t="shared" si="10"/>
        <v>421080</v>
      </c>
      <c r="L74" s="1699">
        <f>SUM(L42,L47,L53,L57,L65,L72,L73)</f>
        <v>435363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53583</v>
      </c>
      <c r="F83" s="617"/>
      <c r="G83" s="617"/>
      <c r="H83" s="466"/>
      <c r="I83" s="477"/>
      <c r="J83" s="477"/>
      <c r="K83" s="1693">
        <f t="shared" si="11"/>
        <v>53583</v>
      </c>
      <c r="L83" s="466">
        <v>53583</v>
      </c>
    </row>
    <row r="84" spans="1:12" ht="13.5" thickBot="1" x14ac:dyDescent="0.25">
      <c r="A84" s="1690" t="s">
        <v>1565</v>
      </c>
      <c r="B84" s="1700">
        <v>4100</v>
      </c>
      <c r="C84" s="617"/>
      <c r="D84" s="617"/>
      <c r="E84" s="1692">
        <f>SUM(E78:E83)</f>
        <v>53583</v>
      </c>
      <c r="F84" s="617"/>
      <c r="G84" s="617"/>
      <c r="H84" s="1692">
        <f>SUM(H78:H83)</f>
        <v>0</v>
      </c>
      <c r="I84" s="477"/>
      <c r="J84" s="477"/>
      <c r="K84" s="1692">
        <f>SUM(K78:K83)</f>
        <v>53583</v>
      </c>
      <c r="L84" s="1692">
        <f>SUM(L78:L83)</f>
        <v>53583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53583</v>
      </c>
      <c r="F102" s="617"/>
      <c r="G102" s="617"/>
      <c r="H102" s="1699">
        <f>SUM(H84,H92,H100,H101)</f>
        <v>0</v>
      </c>
      <c r="I102" s="477"/>
      <c r="J102" s="477"/>
      <c r="K102" s="1699">
        <f>SUM(K84,K92,K100,K101)</f>
        <v>53583</v>
      </c>
      <c r="L102" s="1699">
        <f>SUM(L84,L92,L100,L101)</f>
        <v>53583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1232703</v>
      </c>
      <c r="D114" s="1692">
        <f t="shared" ref="D114:K114" si="13">SUM(D33,D74,D75,D102,D112,D113)</f>
        <v>303257</v>
      </c>
      <c r="E114" s="1692">
        <f t="shared" si="13"/>
        <v>235991</v>
      </c>
      <c r="F114" s="1692">
        <f t="shared" si="13"/>
        <v>215027</v>
      </c>
      <c r="G114" s="1692">
        <f t="shared" si="13"/>
        <v>31773</v>
      </c>
      <c r="H114" s="1692">
        <f>SUM(H33,H74,H75,H102,H112,H113)</f>
        <v>41690</v>
      </c>
      <c r="I114" s="1692">
        <f t="shared" si="13"/>
        <v>16670</v>
      </c>
      <c r="J114" s="1692">
        <f t="shared" si="13"/>
        <v>0</v>
      </c>
      <c r="K114" s="1692">
        <f t="shared" si="13"/>
        <v>2077111</v>
      </c>
      <c r="L114" s="1692">
        <f>SUM(L33,L74,L75,L102,L112,L113)</f>
        <v>2206848</v>
      </c>
    </row>
    <row r="115" spans="1:14" ht="13.5" thickTop="1" x14ac:dyDescent="0.2">
      <c r="A115" s="2171" t="s">
        <v>1053</v>
      </c>
      <c r="B115" s="2172"/>
      <c r="C115" s="619"/>
      <c r="D115" s="619"/>
      <c r="E115" s="619"/>
      <c r="F115" s="619"/>
      <c r="G115" s="619"/>
      <c r="H115" s="619"/>
      <c r="I115" s="619"/>
      <c r="J115" s="619"/>
      <c r="K115" s="1706">
        <f>'Revenues 9-14'!C275-'Expenditures 15-22'!K114</f>
        <v>-54316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68"/>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1" t="s">
        <v>1240</v>
      </c>
      <c r="B152" s="2192"/>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1" t="s">
        <v>1053</v>
      </c>
      <c r="B175" s="2172"/>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1" t="s">
        <v>1053</v>
      </c>
      <c r="B211" s="2172"/>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1" t="s">
        <v>1053</v>
      </c>
      <c r="B296" s="2172"/>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4" t="s">
        <v>1053</v>
      </c>
      <c r="B343" s="2185"/>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1" t="s">
        <v>1053</v>
      </c>
      <c r="B368" s="2172"/>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http://purl.org/dc/dcmitype/"/>
    <ds:schemaRef ds:uri="http://schemas.microsoft.com/office/2006/documentManagement/types"/>
    <ds:schemaRef ds:uri="http://purl.org/dc/terms/"/>
    <ds:schemaRef ds:uri="d21dc803-237d-4c68-8692-8d731fd29118"/>
    <ds:schemaRef ds:uri="http://schemas.microsoft.com/office/infopath/2007/PartnerControls"/>
    <ds:schemaRef ds:uri="4d435f69-8686-490b-bd6d-b153bf22ab50"/>
    <ds:schemaRef ds:uri="http://schemas.microsoft.com/office/2006/metadata/properties"/>
    <ds:schemaRef ds:uri="http://www.w3.org/XML/1998/namespace"/>
    <ds:schemaRef ds:uri="6ce3111e-7420-4802-b50a-75d4e9a0b980"/>
    <ds:schemaRef ds:uri="http://schemas.microsoft.com/sharepoint/v3"/>
    <ds:schemaRef ds:uri="http://purl.org/dc/elements/1.1/"/>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2018-12-10T16:08:14Z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 Folder</vt:lpwstr>
  </property>
  <property fmtid="{D5CDD505-2E9C-101B-9397-08002B2CF9AE}" pid="5" name="tabIndex">
    <vt:lpwstr>RFF</vt:lpwstr>
  </property>
  <property fmtid="{D5CDD505-2E9C-101B-9397-08002B2CF9AE}" pid="6" name="workpaperIndex">
    <vt:lpwstr>RFF 03</vt:lpwstr>
  </property>
</Properties>
</file>