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firstSheet="15" activeTab="2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E44" i="29"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H34" i="182" l="1"/>
  <c r="K34" i="182" s="1"/>
  <c r="D81" i="36" s="1"/>
  <c r="F79" i="34" l="1"/>
  <c r="F74" i="34"/>
  <c r="F61" i="34"/>
  <c r="F60" i="34"/>
  <c r="F59" i="34"/>
  <c r="F58" i="34"/>
  <c r="F13" i="34" l="1"/>
  <c r="F11" i="34"/>
  <c r="F1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L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1807" i="106" l="1"/>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B1329" i="106" s="1"/>
  <c r="D1329" i="106" s="1"/>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D1807"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s="1"/>
  <c r="D5112" i="106" s="1"/>
  <c r="C108" i="5"/>
  <c r="B5120" i="106"/>
  <c r="D5120" i="106" s="1"/>
  <c r="D108" i="5"/>
  <c r="B5355" i="106" s="1"/>
  <c r="D5355" i="106" s="1"/>
  <c r="E108" i="5"/>
  <c r="B5526" i="106"/>
  <c r="D5526" i="106" s="1"/>
  <c r="F108" i="5"/>
  <c r="B5587" i="106"/>
  <c r="D5587" i="106" s="1"/>
  <c r="G108" i="5"/>
  <c r="B5737" i="106" s="1"/>
  <c r="D5737" i="106" s="1"/>
  <c r="H108" i="5"/>
  <c r="B5886" i="106"/>
  <c r="D5886" i="106" s="1"/>
  <c r="I108" i="5"/>
  <c r="B5930" i="106" s="1"/>
  <c r="D5930" i="106" s="1"/>
  <c r="J108" i="5"/>
  <c r="B6351" i="106" s="1"/>
  <c r="D6351" i="106" s="1"/>
  <c r="K108" i="5"/>
  <c r="B5999" i="106" s="1"/>
  <c r="D5999" i="106" s="1"/>
  <c r="C109" i="5"/>
  <c r="B5121" i="106" s="1"/>
  <c r="D5121"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G15" i="4"/>
  <c r="B6032" i="106" s="1"/>
  <c r="D6032" i="106" s="1"/>
  <c r="F13" i="4"/>
  <c r="B2596" i="106" s="1"/>
  <c r="D2596"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K274" i="5"/>
  <c r="H173" i="5"/>
  <c r="B5906" i="106" s="1"/>
  <c r="D5906" i="106" s="1"/>
  <c r="H109" i="5"/>
  <c r="B6025" i="106" s="1"/>
  <c r="D6025" i="106" s="1"/>
  <c r="D109" i="5"/>
  <c r="B5356" i="106" s="1"/>
  <c r="D5356" i="106" s="1"/>
  <c r="F106" i="34"/>
  <c r="D7" i="7"/>
  <c r="B1763" i="106" s="1"/>
  <c r="D1763" i="106" s="1"/>
  <c r="H4" i="4"/>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F28" i="108" l="1"/>
  <c r="E28" i="108"/>
  <c r="B1410" i="106"/>
  <c r="D1410" i="106" s="1"/>
  <c r="G4" i="4"/>
  <c r="B2603" i="106" s="1"/>
  <c r="D2603" i="106" s="1"/>
  <c r="D4" i="4"/>
  <c r="B2564" i="106" s="1"/>
  <c r="D2564" i="106" s="1"/>
  <c r="C172" i="5"/>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L16" i="11"/>
  <c r="B2061" i="106" s="1"/>
  <c r="D2061"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B3447" i="106"/>
  <c r="D3447" i="106" s="1"/>
  <c r="D19" i="7"/>
  <c r="B1775" i="106" s="1"/>
  <c r="D1775" i="106" s="1"/>
  <c r="B7270" i="106"/>
  <c r="L114" i="29" l="1"/>
  <c r="C114" i="29"/>
  <c r="B757" i="106" s="1"/>
  <c r="D757"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G41" i="108" l="1"/>
  <c r="G44" i="108" s="1"/>
  <c r="G45" i="108" s="1"/>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<sst xmlns="http://schemas.openxmlformats.org/spreadsheetml/2006/main" count="5017" uniqueCount="2097">
  <si>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</si>
  <si>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</si>
  <si>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</si>
  <si>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</si>
  <si>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</si>
  <si>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</si>
  <si>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</si>
  <si>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</si>
  <si>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</si>
  <si>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</si>
  <si>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</si>
  <si>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</si>
  <si>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</si>
  <si>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</si>
  <si>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</si>
  <si>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</si>
  <si>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</si>
  <si>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</si>
  <si>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</si>
  <si>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</si>
  <si>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</si>
  <si>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</si>
  <si>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</si>
  <si>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</si>
  <si>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</si>
  <si>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</si>
  <si>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</si>
  <si>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</si>
  <si>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</si>
  <si>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</si>
  <si>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</si>
  <si>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</si>
  <si>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</si>
  <si>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</si>
  <si>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</si>
  <si>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</si>
  <si>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</si>
  <si>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</si>
  <si>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</si>
  <si>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</si>
  <si>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</si>
  <si>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</si>
  <si>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</si>
  <si>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</si>
  <si>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</si>
  <si>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</si>
  <si>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</si>
  <si>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</si>
  <si>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</si>
  <si>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</si>
  <si>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</si>
  <si>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</si>
  <si>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</si>
  <si>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</si>
  <si>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</si>
  <si>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</si>
  <si>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</si>
  <si>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</si>
  <si>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</si>
  <si>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</si>
  <si>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</si>
  <si>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</si>
  <si>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</si>
  <si>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</si>
  <si>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</si>
  <si>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</si>
  <si>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</si>
  <si>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</si>
  <si>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</si>
  <si>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</si>
  <si>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</si>
  <si>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</si>
  <si>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</si>
  <si>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</si>
  <si>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</si>
  <si>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</si>
  <si>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</si>
  <si>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</si>
  <si>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</si>
  <si>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</si>
  <si>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</si>
  <si>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</si>
  <si>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</si>
  <si>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</si>
  <si>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</si>
  <si>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</si>
  <si>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</si>
  <si>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</si>
  <si>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</si>
  <si>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</si>
  <si>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</si>
  <si>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</si>
  <si>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</si>
  <si>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</si>
  <si>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</si>
  <si>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</si>
  <si>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</si>
  <si>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</si>
  <si>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</si>
  <si>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</si>
  <si>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</si>
  <si>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</si>
  <si>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</si>
  <si>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</si>
  <si>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</si>
  <si>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</si>
  <si>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</si>
  <si>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</si>
  <si>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</si>
  <si>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</si>
  <si>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</si>
  <si>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</si>
  <si>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</si>
  <si>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</si>
  <si>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</si>
  <si>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</si>
  <si>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</si>
  <si>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</si>
  <si>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</si>
  <si>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</si>
  <si>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</si>
  <si>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</si>
  <si>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</si>
  <si>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</si>
  <si>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</si>
  <si>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</si>
  <si>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</si>
  <si>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</si>
  <si>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</si>
  <si>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</si>
  <si>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</si>
  <si>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</si>
  <si>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</si>
  <si>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</si>
  <si>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</si>
  <si>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</si>
  <si>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</si>
  <si>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</si>
  <si>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</si>
  <si>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</si>
  <si>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</si>
  <si>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</si>
  <si>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</si>
  <si>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</si>
  <si>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</si>
  <si>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</si>
  <si>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</si>
  <si>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</si>
  <si>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</si>
  <si>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</si>
  <si>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</si>
  <si>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</si>
  <si>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</si>
  <si>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</si>
  <si>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</si>
  <si>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</si>
  <si>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</si>
  <si>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</si>
  <si>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</si>
  <si>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</si>
  <si>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</si>
  <si>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</si>
  <si>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</si>
  <si>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</si>
  <si>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</si>
  <si>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</si>
  <si>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</si>
  <si>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</si>
  <si>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</si>
  <si>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</si>
  <si>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</si>
  <si>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</si>
  <si>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</si>
  <si>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</si>
  <si>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</si>
  <si>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</si>
  <si>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</si>
  <si>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</si>
  <si>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</si>
  <si>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</si>
  <si>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</si>
  <si>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</si>
  <si>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</si>
  <si>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</si>
  <si>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</si>
  <si>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</si>
  <si>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</si>
  <si>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</si>
  <si>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</si>
  <si>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</si>
  <si>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</si>
  <si>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</si>
  <si>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</si>
  <si>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</si>
  <si>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</si>
  <si>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</si>
  <si>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</si>
  <si>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</si>
  <si>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</si>
  <si>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</si>
  <si>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</si>
  <si>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</si>
  <si>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</si>
  <si>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</si>
  <si>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</si>
  <si>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</si>
  <si>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</si>
  <si>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</si>
  <si>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</si>
  <si>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</si>
  <si>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</si>
  <si>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</si>
  <si>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</si>
  <si>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</si>
  <si>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</si>
  <si>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</si>
  <si>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</si>
  <si>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</si>
  <si>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</si>
  <si>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</si>
  <si>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</si>
  <si>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</si>
  <si>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</si>
  <si>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</si>
  <si>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</si>
  <si>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</si>
  <si>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</si>
  <si>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</si>
  <si>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</si>
  <si>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</si>
  <si>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</si>
  <si>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</si>
  <si>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</si>
  <si>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</si>
  <si>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</si>
  <si>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</si>
  <si>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</si>
  <si>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</si>
  <si>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</si>
  <si>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</si>
  <si>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</si>
  <si>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</si>
  <si>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</si>
  <si>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</si>
  <si>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</si>
  <si>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</si>
  <si>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</si>
  <si>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</si>
  <si>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</si>
  <si>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</si>
  <si>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</si>
  <si>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</si>
  <si>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</si>
  <si>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</si>
  <si>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</si>
  <si>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</si>
  <si>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</si>
  <si>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</si>
  <si>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</si>
  <si>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</si>
  <si>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</si>
  <si>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</si>
  <si>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</si>
  <si>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</si>
  <si>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</si>
  <si>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</si>
  <si>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</si>
  <si>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</si>
  <si>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</si>
  <si>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</si>
  <si>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</si>
  <si>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</si>
  <si>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</si>
  <si>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</si>
  <si>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</si>
  <si>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</si>
  <si>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</si>
  <si>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</si>
  <si>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</si>
  <si>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</si>
  <si>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</si>
  <si>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</si>
  <si>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</si>
  <si>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</si>
  <si>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</si>
  <si>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</si>
  <si>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</si>
  <si>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</si>
  <si>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</si>
  <si>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</si>
  <si>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</si>
  <si>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</si>
  <si>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</si>
  <si>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</si>
  <si>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</si>
  <si>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</si>
  <si>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</si>
  <si>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</si>
  <si>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</si>
  <si>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</si>
  <si>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</si>
  <si>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</si>
  <si>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</si>
  <si>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</si>
  <si>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</si>
  <si>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</si>
  <si>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</si>
  <si>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</si>
  <si>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</si>
  <si>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</si>
  <si>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</si>
  <si>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</si>
  <si>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</si>
  <si>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</si>
  <si>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</si>
  <si>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</si>
  <si>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</si>
  <si>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</si>
  <si>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</si>
  <si>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</si>
  <si>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</si>
  <si>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</si>
  <si>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</si>
  <si>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</si>
  <si>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</si>
  <si>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</si>
  <si>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</si>
  <si>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</si>
  <si>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</si>
  <si>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</si>
  <si>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</si>
  <si>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</si>
  <si>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</si>
  <si>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</si>
  <si>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</si>
  <si>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</si>
  <si>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</si>
  <si>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</si>
  <si>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</si>
  <si>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</si>
  <si>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</si>
  <si>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</si>
  <si>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</si>
  <si>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</si>
  <si>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</si>
  <si>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</si>
  <si>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</si>
  <si>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</si>
  <si>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</si>
  <si>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</si>
  <si>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</si>
  <si>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</si>
  <si>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</si>
  <si>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</si>
  <si>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</si>
  <si>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</si>
  <si>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</si>
  <si>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</si>
  <si>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</si>
  <si>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</si>
  <si>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</si>
  <si>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</si>
  <si>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</si>
  <si>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</si>
  <si>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</si>
  <si>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</si>
  <si>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</si>
  <si>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</si>
  <si>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</si>
  <si>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</si>
  <si>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</si>
  <si>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</si>
  <si>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</si>
  <si>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</si>
  <si>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</si>
  <si>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</si>
  <si>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</si>
  <si>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</si>
  <si>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</si>
  <si>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</si>
  <si>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</si>
  <si>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</si>
  <si>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</si>
  <si>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</si>
  <si>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</si>
  <si>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</si>
  <si>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</si>
  <si>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</si>
  <si>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</si>
  <si>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</si>
  <si>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</si>
  <si>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</si>
  <si>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</si>
  <si>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</si>
  <si>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</si>
  <si>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</si>
  <si>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</si>
  <si>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</si>
  <si>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</si>
  <si>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</si>
  <si>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</si>
  <si>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</si>
  <si>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</si>
  <si>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</si>
  <si>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</si>
  <si>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</si>
  <si>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</si>
  <si>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</si>
  <si>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</si>
  <si>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</si>
  <si>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</si>
  <si>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</si>
  <si>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</si>
  <si>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</si>
  <si>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</si>
  <si>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</si>
  <si>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</si>
  <si>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</si>
  <si>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</si>
  <si>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</si>
  <si>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</si>
  <si>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</si>
  <si>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</si>
  <si>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</si>
  <si>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</si>
  <si>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</si>
  <si>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</si>
  <si>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</si>
  <si>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</si>
  <si>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</si>
  <si>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</si>
  <si>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</si>
  <si>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</si>
  <si>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</si>
  <si>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</si>
  <si>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</si>
  <si>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</si>
  <si>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</si>
  <si>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</si>
  <si>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</si>
  <si>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</si>
  <si>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</si>
  <si>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</si>
  <si>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</si>
  <si>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</si>
  <si>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</si>
  <si>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</si>
  <si>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</si>
  <si>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</si>
  <si>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</si>
  <si>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</si>
  <si>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</si>
  <si>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</si>
  <si>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</si>
  <si>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</si>
  <si>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</si>
  <si>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</si>
  <si>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</si>
  <si>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</si>
  <si>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</si>
  <si>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</si>
  <si>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</si>
  <si>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</si>
  <si>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</si>
  <si>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</si>
  <si>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</si>
  <si>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</si>
  <si>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</si>
  <si>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</si>
  <si>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</si>
  <si>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</si>
  <si>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</si>
  <si>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</si>
  <si>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</si>
  <si>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</si>
  <si>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</si>
  <si>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</si>
  <si>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</si>
  <si>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</si>
  <si>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</si>
  <si>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</si>
  <si>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</si>
  <si>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</si>
  <si>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</si>
  <si>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</si>
  <si>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</si>
  <si>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</si>
  <si>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</si>
  <si>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</si>
  <si>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</si>
  <si>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</si>
  <si>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</si>
  <si>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</si>
  <si>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</si>
  <si>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</si>
  <si>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</si>
  <si>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</si>
  <si>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</si>
  <si>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</si>
  <si>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</si>
  <si>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</si>
  <si>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</si>
  <si>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</si>
  <si>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</si>
  <si>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</si>
  <si>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</si>
  <si>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</si>
  <si>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</si>
  <si>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</si>
  <si>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</si>
  <si>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</si>
  <si>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</si>
  <si>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</si>
  <si>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</si>
  <si>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</si>
  <si>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</si>
  <si>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</si>
  <si>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</si>
  <si>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</si>
  <si>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</si>
  <si>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</si>
  <si>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</si>
  <si>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</si>
  <si>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</si>
  <si>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</si>
  <si>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</si>
  <si>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</si>
  <si>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</si>
  <si>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</si>
  <si>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</si>
  <si>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</si>
  <si>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</si>
  <si>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</si>
  <si>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</si>
  <si>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</si>
  <si>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</si>
  <si>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</si>
  <si>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</si>
  <si>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</si>
  <si>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</si>
  <si>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</si>
  <si>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</si>
  <si>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</si>
  <si>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</si>
  <si>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</si>
  <si>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</si>
  <si>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</si>
  <si>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</si>
  <si>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</si>
  <si>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</si>
  <si>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</si>
  <si>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</si>
  <si>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</si>
  <si>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</si>
  <si>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</si>
  <si>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</si>
  <si>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</si>
  <si>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</si>
  <si>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</si>
  <si>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</si>
  <si>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</si>
  <si>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</si>
  <si>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</si>
  <si>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</si>
  <si>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</si>
  <si>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</si>
  <si>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</si>
  <si>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</si>
  <si>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</si>
  <si>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</si>
  <si>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</si>
  <si>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</si>
  <si>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</si>
  <si>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</si>
  <si>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</si>
  <si>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</si>
  <si>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</si>
  <si>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</si>
  <si>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</si>
  <si>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</si>
  <si>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</si>
  <si>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</si>
  <si>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</si>
  <si>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</si>
  <si>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</si>
  <si>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</si>
  <si>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</si>
  <si>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</si>
  <si>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</si>
  <si>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</si>
  <si>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</si>
  <si>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</si>
  <si>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</si>
  <si>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</si>
  <si>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</si>
  <si>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</si>
  <si>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</si>
  <si>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</si>
  <si>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</si>
  <si>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</si>
  <si>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</si>
  <si>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</si>
  <si>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</si>
  <si>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</si>
  <si>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</si>
  <si>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</si>
  <si>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</si>
  <si>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</si>
  <si>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</si>
  <si>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</si>
  <si>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</si>
  <si>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</si>
  <si>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</si>
  <si>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</si>
  <si>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</si>
  <si>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</si>
  <si>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</si>
  <si>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</si>
  <si>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</si>
  <si>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</si>
  <si>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</si>
  <si>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</si>
  <si>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</si>
  <si>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</si>
  <si>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</si>
  <si>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</si>
  <si>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</si>
  <si>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</si>
  <si>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</si>
  <si>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</si>
  <si>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</si>
  <si>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</si>
  <si>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</si>
  <si>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</si>
  <si>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</si>
  <si>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</si>
  <si>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</si>
  <si>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</si>
  <si>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</si>
  <si>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</si>
  <si>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</si>
  <si>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</si>
  <si>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</si>
  <si>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</si>
  <si>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</si>
  <si>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</si>
  <si>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</si>
  <si>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</si>
  <si>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</si>
  <si>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</si>
  <si>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</si>
  <si>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</si>
  <si>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</si>
  <si>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</si>
  <si>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</si>
  <si>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</si>
  <si>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</si>
  <si>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</si>
  <si>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</si>
  <si>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</si>
  <si>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</si>
  <si>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</si>
  <si>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</si>
  <si>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</si>
  <si>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</si>
  <si>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</si>
  <si>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</si>
  <si>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</si>
  <si>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</si>
  <si>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</si>
  <si>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</si>
  <si>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</si>
  <si>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</si>
  <si>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</si>
  <si>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</si>
  <si>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</si>
  <si>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</si>
  <si>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</si>
  <si>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</si>
  <si>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</si>
  <si>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</si>
  <si>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</si>
  <si>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</si>
  <si>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</si>
  <si>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</si>
  <si>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</si>
  <si>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</si>
  <si>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</si>
  <si>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</si>
  <si>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</si>
  <si>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</si>
  <si>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</si>
  <si>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</si>
  <si>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</si>
  <si>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</si>
  <si>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</si>
  <si>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</si>
  <si>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</si>
  <si>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</si>
  <si>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</si>
  <si>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</si>
  <si>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</si>
  <si>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</si>
  <si>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</si>
  <si>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</si>
  <si>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</si>
  <si>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</si>
  <si>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</si>
  <si>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</si>
  <si>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</si>
  <si>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</si>
  <si>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</si>
  <si>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</si>
  <si>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</si>
  <si>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</si>
  <si>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</si>
  <si>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</si>
  <si>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</si>
  <si>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</si>
  <si>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</si>
  <si>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</si>
  <si>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</si>
  <si>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</si>
  <si>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</si>
  <si>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</si>
  <si>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</si>
  <si>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</si>
  <si>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</si>
  <si>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</si>
  <si>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</si>
  <si>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</si>
  <si>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</si>
  <si>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</si>
  <si>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</si>
  <si>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</si>
  <si>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</si>
  <si>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</si>
  <si>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</si>
  <si>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</si>
  <si>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</si>
  <si>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</si>
  <si>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</si>
  <si>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</si>
  <si>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</si>
  <si>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</si>
  <si>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</si>
  <si>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</si>
  <si>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</si>
  <si>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</si>
  <si>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</si>
  <si>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</si>
  <si>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</si>
  <si>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</si>
  <si>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</si>
  <si>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</si>
  <si>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</si>
  <si>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</si>
  <si>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</si>
  <si>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</si>
  <si>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</si>
  <si>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</si>
  <si>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</si>
  <si>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</si>
  <si>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</si>
  <si>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</si>
  <si>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</si>
  <si>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</si>
  <si>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</si>
  <si>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</si>
  <si>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</si>
  <si>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</si>
  <si>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</si>
  <si>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</si>
  <si>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</si>
  <si>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</si>
  <si>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</si>
  <si>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</si>
  <si>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</si>
  <si>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</si>
  <si>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</si>
  <si>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</si>
  <si>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</si>
  <si>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</si>
  <si>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</si>
  <si>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</si>
  <si>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</si>
  <si>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</si>
  <si>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</si>
  <si>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</si>
  <si>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</si>
  <si>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</si>
  <si>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</si>
  <si>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</si>
  <si>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</si>
  <si>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</si>
  <si>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</si>
  <si>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</si>
  <si>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</si>
  <si>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</si>
  <si>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</si>
  <si>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</si>
  <si>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</si>
  <si>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</si>
  <si>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</si>
  <si>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</si>
  <si>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</si>
  <si>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</si>
  <si>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</si>
  <si>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</si>
  <si>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</si>
  <si>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</si>
  <si>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</si>
  <si>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</si>
  <si>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</si>
  <si>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</si>
  <si>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</si>
  <si>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</si>
  <si>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</si>
  <si>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</si>
  <si>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</si>
  <si>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</si>
  <si>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</si>
  <si>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</si>
  <si>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</si>
  <si>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</si>
  <si>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</si>
  <si>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</si>
  <si>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</si>
  <si>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</si>
  <si>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</si>
  <si>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</si>
  <si>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</si>
  <si>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</si>
  <si>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</si>
  <si>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</si>
  <si>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</si>
  <si>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</si>
  <si>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</si>
  <si>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</si>
  <si>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</si>
  <si>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</si>
  <si>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</si>
  <si>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</si>
  <si>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</si>
  <si>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</si>
  <si>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</si>
  <si>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</si>
  <si>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</si>
  <si>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</si>
  <si>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</si>
  <si>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</si>
  <si>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</si>
  <si>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</si>
  <si>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</si>
  <si>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</si>
  <si>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</si>
  <si>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</si>
  <si>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</si>
  <si>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</si>
  <si>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</si>
  <si>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</si>
  <si>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</si>
  <si>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</si>
  <si>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</si>
  <si>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</si>
  <si>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</si>
  <si>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</si>
  <si>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</si>
  <si>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</si>
  <si>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</si>
  <si>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</si>
  <si>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</si>
  <si>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</si>
  <si>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</si>
  <si>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</si>
  <si>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</si>
  <si>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</si>
  <si>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</si>
  <si>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</si>
  <si>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</si>
  <si>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</si>
  <si>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</si>
  <si>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</si>
  <si>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</si>
  <si>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</si>
  <si>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</si>
  <si>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</si>
  <si>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</si>
  <si>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</si>
  <si>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</si>
  <si>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</si>
  <si>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</si>
  <si>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</si>
  <si>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</si>
  <si>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</si>
  <si>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</si>
  <si>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</si>
  <si>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</si>
  <si>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</si>
  <si>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</si>
  <si>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</si>
  <si>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</si>
  <si>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</si>
  <si>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</si>
  <si>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</si>
  <si>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</si>
  <si>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</si>
  <si>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</si>
  <si>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</si>
  <si>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</si>
  <si>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</si>
  <si>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</si>
  <si>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</si>
  <si>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</si>
  <si>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</si>
  <si>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</si>
  <si>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</si>
  <si>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</si>
  <si>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</si>
  <si>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</si>
  <si>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</si>
  <si>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</si>
  <si>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</si>
  <si>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</si>
  <si>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</si>
  <si>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</si>
  <si>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</si>
  <si>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</si>
  <si>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</si>
  <si>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</si>
  <si>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</si>
  <si>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</si>
  <si>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</si>
  <si>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</si>
  <si>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</si>
  <si>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</si>
  <si>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</si>
  <si>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</si>
  <si>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</si>
  <si>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</si>
  <si>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</si>
  <si>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</si>
  <si>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</si>
  <si>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</si>
  <si>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</si>
  <si>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</si>
  <si>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</si>
  <si>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</si>
  <si>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</si>
  <si>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</si>
  <si>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</si>
  <si>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</si>
  <si>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</si>
  <si>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</si>
  <si>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</si>
  <si>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</si>
  <si>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</si>
  <si>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</si>
  <si>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</si>
  <si>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</si>
  <si>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</si>
  <si>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</si>
  <si>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</si>
  <si>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</si>
  <si>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</si>
  <si>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</si>
  <si>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</si>
  <si>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</si>
  <si>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</si>
  <si>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</si>
  <si>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</si>
  <si>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</si>
  <si>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</si>
  <si>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</si>
  <si>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</si>
  <si>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</si>
  <si>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</si>
  <si>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</si>
  <si>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</si>
  <si>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</si>
  <si>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</si>
  <si>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</si>
  <si>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</si>
  <si>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</si>
  <si>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</si>
  <si>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</si>
  <si>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</si>
  <si>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</si>
  <si>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</si>
  <si>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</si>
  <si>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</si>
  <si>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</si>
  <si>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</si>
  <si>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</si>
  <si>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</si>
  <si>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</si>
  <si>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</si>
  <si>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</si>
  <si>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</si>
  <si>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</si>
  <si>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</si>
  <si>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</si>
  <si>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</si>
  <si>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</si>
  <si>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</si>
  <si>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</si>
  <si>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</si>
  <si>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</si>
  <si>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</si>
  <si>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</si>
  <si>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</si>
  <si>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</si>
  <si>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</si>
  <si>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</si>
  <si>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</si>
  <si>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</si>
  <si>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</si>
  <si>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</si>
  <si>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</si>
  <si>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</si>
  <si>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</si>
  <si>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</si>
  <si>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</si>
  <si>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</si>
  <si>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</si>
  <si>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</si>
  <si>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</si>
  <si>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</si>
  <si>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</si>
  <si>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</si>
  <si>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</si>
  <si>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</si>
  <si>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</si>
  <si>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</si>
  <si>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</si>
  <si>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</si>
  <si>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</si>
  <si>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</si>
  <si>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</si>
  <si>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</si>
  <si>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</si>
  <si>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</si>
  <si>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</si>
  <si>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</si>
  <si>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</si>
  <si>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</si>
  <si>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</si>
  <si>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</si>
  <si>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</si>
  <si>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</si>
  <si>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</si>
  <si>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</si>
  <si>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</si>
  <si>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</si>
  <si>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</si>
  <si>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</si>
  <si>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</si>
  <si>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</si>
  <si>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</si>
  <si>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</si>
  <si>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</si>
  <si>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</si>
  <si>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</si>
  <si>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</si>
  <si>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</si>
  <si>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</si>
  <si>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</si>
  <si>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</si>
  <si>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</si>
  <si>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</si>
  <si>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</si>
  <si>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</si>
  <si>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</si>
  <si>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</si>
  <si>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</si>
  <si>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</si>
  <si>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</si>
  <si>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</si>
  <si>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</si>
  <si>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</si>
  <si>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</si>
  <si>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</si>
  <si>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</si>
  <si>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</si>
  <si>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</si>
  <si>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</si>
  <si>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</si>
  <si>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</si>
  <si>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</si>
  <si>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</si>
  <si>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</si>
  <si>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</si>
  <si>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</si>
  <si>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</si>
  <si>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</si>
  <si>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</si>
  <si>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</si>
  <si>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</si>
  <si>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</si>
  <si>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</si>
  <si>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</si>
  <si>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</si>
  <si>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</si>
  <si>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</si>
  <si>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</si>
  <si>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</si>
  <si>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</si>
  <si>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</si>
  <si>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</si>
  <si>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</si>
  <si>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</si>
  <si>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</si>
  <si>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</si>
  <si>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</si>
  <si>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</si>
  <si>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</si>
  <si>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</si>
  <si>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</si>
  <si>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</si>
  <si>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</si>
  <si>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</si>
  <si>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</si>
  <si>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</si>
  <si>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</si>
  <si>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</si>
  <si>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</si>
  <si>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</si>
  <si>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</si>
  <si>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</si>
  <si>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</si>
  <si>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</si>
  <si>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</si>
  <si>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</si>
  <si>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</si>
  <si>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</si>
  <si>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</si>
  <si>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</si>
  <si>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</si>
  <si>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</si>
  <si>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</si>
  <si>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</si>
  <si>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</si>
  <si>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</si>
  <si>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</si>
  <si>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</si>
  <si>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</si>
  <si>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</si>
  <si>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</si>
  <si>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</si>
  <si>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</si>
  <si>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</si>
  <si>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</si>
  <si>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</si>
  <si>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</si>
  <si>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</si>
  <si>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</si>
  <si>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</si>
  <si>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</si>
  <si>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</si>
  <si>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</si>
  <si>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</si>
  <si>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</si>
  <si>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</si>
  <si>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</si>
  <si>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</si>
  <si>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</si>
  <si>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</si>
  <si>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</si>
  <si>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</si>
  <si>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</si>
  <si>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</si>
  <si>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</si>
  <si>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</si>
  <si>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</si>
  <si>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</si>
  <si>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</si>
  <si>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</si>
  <si>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</si>
  <si>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</si>
  <si>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</si>
  <si>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</si>
  <si>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</si>
  <si>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</si>
  <si>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</si>
  <si>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</si>
  <si>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</si>
  <si>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</si>
  <si>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</si>
  <si>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</si>
  <si>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</si>
  <si>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</si>
  <si>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</si>
  <si>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</si>
  <si>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</si>
  <si>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</si>
  <si>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</si>
  <si>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</si>
  <si>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</si>
  <si>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</si>
  <si>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</si>
  <si>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</si>
  <si>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</si>
  <si>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</si>
  <si>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</si>
  <si>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</si>
  <si>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</si>
  <si>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</si>
  <si>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</si>
  <si>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</si>
  <si>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</si>
  <si>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</si>
  <si>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</si>
  <si>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</si>
  <si>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</si>
  <si>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</si>
  <si>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</si>
  <si>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</si>
  <si>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</si>
  <si>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</si>
  <si>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</si>
  <si>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</si>
  <si>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</si>
  <si>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</si>
  <si>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</si>
  <si>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</si>
  <si>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</si>
  <si>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</si>
  <si>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</si>
  <si>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</si>
  <si>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</si>
  <si>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</si>
  <si>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</si>
  <si>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</si>
  <si>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</si>
  <si>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</si>
  <si>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</si>
  <si>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</si>
  <si>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</si>
  <si>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</si>
  <si>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</si>
  <si>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</si>
  <si>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</si>
  <si>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</si>
  <si>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</si>
  <si>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</si>
  <si>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</si>
  <si>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</si>
  <si>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</si>
  <si>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</si>
  <si>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</si>
  <si>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</si>
  <si>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</si>
  <si>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</si>
  <si>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</si>
  <si>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</si>
  <si>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</si>
  <si>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</si>
  <si>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</si>
  <si>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</si>
  <si>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</si>
  <si>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</si>
  <si>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</si>
  <si>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</si>
  <si>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</si>
  <si>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</si>
  <si>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</si>
  <si>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</si>
  <si>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</si>
  <si>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</si>
  <si>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</si>
  <si>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</si>
  <si>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</si>
  <si>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</si>
  <si>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</si>
  <si>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</si>
  <si>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</si>
  <si>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</si>
  <si>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</si>
  <si>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</si>
  <si>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</si>
  <si>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</si>
  <si>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</si>
  <si>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</si>
  <si>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</si>
  <si>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</si>
  <si>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</si>
  <si>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</si>
  <si>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</si>
  <si>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</si>
  <si>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</si>
  <si>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</si>
  <si>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</si>
  <si>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</si>
  <si>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</si>
  <si>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</si>
  <si>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</si>
  <si>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</si>
  <si>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</si>
  <si>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</si>
  <si>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</si>
  <si>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</si>
  <si>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</si>
  <si>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</si>
  <si>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</si>
  <si>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</si>
  <si>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</si>
  <si>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</si>
  <si>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</si>
  <si>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</si>
  <si>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</si>
  <si>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</si>
  <si>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</si>
  <si>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</si>
  <si>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</si>
  <si>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</si>
  <si>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</si>
  <si>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</si>
  <si>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</si>
  <si>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</si>
  <si>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</si>
  <si>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</si>
  <si>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</si>
  <si>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</si>
  <si>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</si>
  <si>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</si>
  <si>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</si>
  <si>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</si>
  <si>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</si>
  <si>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</si>
  <si>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</si>
  <si>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</si>
  <si>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</si>
  <si>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</si>
  <si>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</si>
  <si>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</si>
  <si>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</si>
  <si>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</si>
  <si>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</si>
  <si>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</si>
  <si>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</si>
  <si>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</si>
  <si>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</si>
  <si>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</si>
  <si>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</si>
  <si>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</si>
  <si>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</si>
  <si>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</si>
  <si>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</si>
  <si>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</si>
  <si>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</si>
  <si>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</si>
  <si>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</si>
  <si>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</si>
  <si>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</si>
  <si>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</si>
  <si>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</si>
  <si>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</si>
  <si>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</si>
  <si>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</si>
  <si>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</si>
  <si>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</si>
  <si>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</si>
  <si>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</si>
  <si>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</si>
  <si>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</si>
  <si>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</si>
  <si>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</si>
  <si>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</si>
  <si>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</si>
  <si>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</si>
  <si>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</si>
  <si>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</si>
  <si>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</si>
  <si>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</si>
  <si>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</si>
  <si>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</si>
  <si>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</si>
  <si>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</si>
  <si>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</si>
  <si>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</si>
  <si>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</si>
  <si>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</si>
  <si>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</si>
  <si>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</si>
  <si>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</si>
  <si>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</si>
  <si>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</si>
  <si>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</si>
  <si>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</si>
  <si>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</si>
  <si>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</si>
  <si>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</si>
  <si>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</si>
  <si>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</si>
  <si>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</si>
  <si>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</si>
  <si>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</si>
  <si>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</si>
  <si>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</si>
  <si>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</si>
  <si>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</si>
  <si>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</si>
  <si>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</si>
  <si>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</si>
  <si>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</si>
  <si>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</si>
  <si>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</si>
  <si>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</si>
  <si>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</si>
  <si>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</si>
  <si>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</si>
  <si>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</si>
  <si>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</si>
  <si>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</si>
  <si>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</si>
  <si>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</si>
  <si>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</si>
  <si>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</si>
  <si>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</si>
  <si>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</si>
  <si>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</si>
  <si>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</si>
  <si>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</si>
  <si>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</si>
  <si>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</si>
  <si>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</si>
  <si>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</si>
  <si>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</si>
  <si>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</si>
  <si>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</si>
  <si>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</si>
  <si>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</si>
  <si>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</si>
  <si>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</si>
  <si>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</si>
  <si>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</si>
  <si>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</si>
  <si>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</si>
  <si>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</si>
  <si>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</si>
  <si>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</si>
  <si>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</si>
  <si>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</si>
  <si>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</si>
  <si>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</si>
  <si>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</si>
  <si>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</si>
  <si>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</si>
  <si>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</si>
  <si>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</si>
  <si>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</si>
  <si>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</si>
  <si>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</si>
  <si>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</si>
  <si>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</si>
  <si>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</si>
  <si>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</si>
  <si>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</si>
  <si>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</si>
  <si>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</si>
  <si>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</si>
  <si>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</si>
  <si>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</si>
  <si>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</si>
  <si>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</si>
  <si>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</si>
  <si>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</si>
  <si>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</si>
  <si>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</si>
  <si>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</si>
  <si>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</si>
  <si>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</si>
  <si>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</si>
  <si>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</si>
  <si>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</si>
  <si>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</si>
  <si>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</si>
  <si>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</si>
  <si>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</si>
  <si>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</si>
  <si>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</si>
  <si>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</si>
  <si>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</si>
  <si>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</si>
  <si>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</si>
  <si>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</si>
  <si>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</si>
  <si>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</si>
  <si>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</si>
  <si>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</si>
  <si>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</si>
  <si>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</si>
  <si>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</si>
  <si>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</si>
  <si>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</si>
  <si>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</si>
  <si>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</si>
  <si>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</si>
  <si>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</si>
  <si>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</si>
  <si>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</si>
  <si>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</si>
  <si>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</si>
  <si>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</si>
  <si>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</si>
  <si>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</si>
  <si>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</si>
  <si>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</si>
  <si>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</si>
  <si>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</si>
  <si>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</si>
  <si>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</si>
  <si>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</si>
  <si>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</si>
  <si>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</si>
  <si>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</si>
  <si>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</si>
  <si>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</si>
  <si>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</si>
  <si>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</si>
  <si>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</si>
  <si>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</si>
  <si>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</si>
  <si>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</si>
  <si>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</si>
  <si>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</si>
  <si>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</si>
  <si>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</si>
  <si>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</si>
  <si>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</si>
  <si>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</si>
  <si>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</si>
  <si>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</si>
  <si>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</si>
  <si>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</si>
  <si>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</si>
  <si>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</si>
  <si>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</si>
  <si>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</si>
  <si>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</si>
  <si>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</si>
  <si>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</si>
  <si>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</si>
  <si>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</si>
  <si>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</si>
  <si>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</si>
  <si>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</si>
  <si>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</si>
  <si>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</si>
  <si>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</si>
  <si>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</si>
  <si>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</si>
  <si>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</si>
  <si>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</si>
  <si>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</si>
  <si>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</si>
  <si>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</si>
  <si>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</si>
  <si>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</si>
  <si>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</si>
  <si>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</si>
  <si>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</si>
  <si>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</si>
  <si>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</si>
  <si>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</si>
  <si>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</si>
  <si>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</si>
  <si>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</si>
  <si>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</si>
  <si>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</si>
  <si>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</si>
  <si>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</si>
  <si>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</si>
  <si>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</si>
  <si>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</si>
  <si>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</si>
  <si>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</si>
  <si>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</si>
  <si>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</si>
  <si>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</si>
  <si>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</si>
  <si>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</si>
  <si>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</si>
  <si>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</si>
  <si>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</si>
  <si>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</si>
  <si>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</si>
  <si>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</si>
  <si>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</si>
  <si>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</si>
  <si>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</si>
  <si>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</si>
  <si>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</si>
  <si>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</si>
  <si>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</si>
  <si>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</si>
  <si>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</si>
  <si>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</si>
  <si>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</si>
  <si>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</si>
  <si>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</si>
  <si>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</si>
  <si>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</si>
  <si>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</si>
  <si>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</si>
  <si>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</si>
  <si>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</si>
  <si>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</si>
  <si>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</si>
  <si>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</si>
  <si>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</si>
  <si>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</si>
  <si>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</si>
  <si>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</si>
  <si>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</si>
  <si>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</si>
  <si>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</si>
  <si>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</si>
  <si>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</si>
  <si>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</si>
  <si>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</si>
  <si>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</si>
  <si>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</si>
  <si>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</si>
  <si>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</si>
  <si>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</si>
  <si>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</si>
  <si>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</si>
  <si>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</si>
  <si>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</si>
  <si>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</si>
  <si>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</si>
  <si>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</si>
  <si>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</si>
  <si>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</si>
  <si>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</si>
  <si>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</si>
  <si>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</si>
  <si>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</si>
  <si>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</si>
  <si>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</si>
  <si>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</si>
  <si>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</si>
  <si>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</si>
  <si>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</si>
  <si>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</si>
  <si>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</si>
  <si>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</si>
  <si>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</si>
  <si>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</si>
  <si>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</si>
  <si>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</si>
  <si>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</si>
  <si>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</si>
  <si>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</si>
  <si>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</si>
  <si>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</si>
  <si>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</si>
  <si>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</si>
  <si>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</si>
  <si>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</si>
  <si>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</si>
  <si>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</si>
  <si>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</si>
  <si>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</si>
  <si>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</si>
  <si>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</si>
  <si>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</si>
  <si>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</si>
  <si>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</si>
  <si>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</si>
  <si>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</si>
  <si>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</si>
  <si>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</si>
  <si>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</si>
  <si>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</si>
  <si>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</si>
  <si>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</si>
  <si>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</si>
  <si>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</si>
  <si>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</si>
  <si>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</si>
  <si>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</si>
  <si>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</si>
  <si>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</si>
  <si>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</si>
  <si>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</si>
  <si>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</si>
  <si>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</si>
  <si>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</si>
  <si>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</si>
  <si>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</si>
  <si>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</si>
  <si>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</si>
  <si>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</si>
  <si>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</si>
  <si>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</si>
  <si>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</si>
  <si>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</si>
  <si>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</si>
  <si>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</si>
  <si>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</si>
  <si>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</si>
  <si>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</si>
  <si>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</si>
  <si>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</si>
  <si>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</si>
  <si>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</si>
  <si>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</si>
  <si>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</si>
  <si>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</si>
  <si>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</si>
  <si>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</si>
  <si>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</si>
  <si>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</si>
  <si>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</si>
  <si>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</si>
  <si>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</si>
  <si>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</si>
  <si>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</si>
  <si>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</si>
  <si>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</si>
  <si>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</si>
  <si>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</si>
  <si>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</si>
  <si>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</si>
  <si>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</si>
  <si>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</si>
  <si>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</si>
  <si>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</si>
  <si>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</si>
  <si>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</si>
  <si>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</si>
  <si>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</si>
  <si>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</si>
  <si>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</si>
  <si>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</si>
  <si>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</si>
  <si>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</si>
  <si>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</si>
  <si>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</si>
  <si>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</si>
  <si>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</si>
  <si>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</si>
  <si>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</si>
  <si>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</si>
  <si>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</si>
  <si>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</si>
  <si>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</si>
  <si>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</si>
  <si>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</si>
  <si>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</si>
  <si>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</si>
  <si>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</si>
  <si>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</si>
  <si>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</si>
  <si>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</si>
  <si>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</si>
  <si>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</si>
  <si>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</si>
  <si>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</si>
  <si>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</si>
  <si>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</si>
  <si>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</si>
  <si>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</si>
  <si>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</si>
  <si>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</si>
  <si>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</si>
  <si>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</si>
  <si>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</si>
  <si>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</si>
  <si>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</si>
  <si>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</si>
  <si>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</si>
  <si>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</si>
  <si>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</si>
  <si>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</si>
  <si>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</si>
  <si>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</si>
  <si>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</si>
  <si>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</si>
  <si>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</si>
  <si>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</si>
  <si>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</si>
  <si>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</si>
  <si>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</si>
  <si>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</si>
  <si>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</si>
  <si>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</si>
  <si>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</si>
  <si>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</si>
  <si>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</si>
  <si>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</si>
  <si>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</si>
  <si>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</si>
  <si>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</si>
  <si>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</si>
  <si>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</si>
  <si>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</si>
  <si>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</si>
  <si>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</si>
  <si>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</si>
  <si>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</si>
  <si>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</si>
  <si>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</si>
  <si>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</si>
  <si>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</si>
  <si>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</si>
  <si>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</si>
  <si>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</si>
  <si>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</si>
  <si>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</si>
  <si>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</si>
  <si>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</si>
  <si>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</si>
  <si>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</si>
  <si>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</si>
  <si>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</si>
  <si>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</si>
  <si>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</si>
  <si>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</si>
  <si>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</si>
  <si>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</si>
  <si>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</si>
  <si>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</si>
  <si>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</si>
  <si>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</si>
  <si>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</si>
  <si>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</si>
  <si>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</si>
  <si>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</si>
  <si>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</si>
  <si>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</si>
  <si>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</si>
  <si>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</si>
  <si>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</si>
  <si>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</si>
  <si>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</si>
  <si>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</si>
  <si>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</si>
  <si>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</si>
  <si>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</si>
  <si>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</si>
  <si>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</si>
  <si>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</si>
  <si>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</si>
  <si>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</si>
  <si>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</si>
  <si>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</si>
  <si>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</si>
  <si>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</si>
  <si>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</si>
  <si>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</si>
  <si>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</si>
  <si>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</si>
  <si>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</si>
  <si>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</si>
  <si>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</si>
  <si>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</si>
  <si>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</si>
  <si>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</si>
  <si>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</si>
  <si>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</si>
  <si>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</si>
  <si>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</si>
  <si>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</si>
  <si>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</si>
  <si>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</si>
  <si>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</si>
  <si>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</si>
  <si>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</si>
  <si>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</si>
  <si>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</si>
  <si>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</si>
  <si>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</si>
  <si>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</si>
  <si>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</si>
  <si>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</si>
  <si>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</si>
  <si>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</si>
  <si>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</si>
  <si>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</si>
  <si>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</si>
  <si>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</si>
  <si>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</si>
  <si>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</si>
  <si>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</si>
  <si>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</si>
  <si>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</si>
  <si>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</si>
  <si>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</si>
  <si>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</si>
  <si>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</si>
  <si>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</si>
  <si>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</si>
  <si>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</si>
  <si>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</si>
  <si>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</si>
  <si>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</si>
  <si>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</si>
  <si>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</si>
  <si>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</si>
  <si>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</si>
  <si>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</si>
  <si>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</si>
  <si>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</si>
  <si>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</si>
  <si>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</si>
  <si>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</si>
  <si>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</si>
  <si>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</si>
  <si>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</si>
  <si>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</si>
  <si>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</si>
  <si>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</si>
  <si>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</si>
  <si>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</si>
  <si>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</si>
  <si>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</si>
  <si>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</si>
  <si>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</si>
  <si>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</si>
  <si>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</si>
  <si>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</si>
  <si>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</si>
  <si>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</si>
  <si>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</si>
  <si>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</si>
  <si>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</si>
  <si>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</si>
  <si>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</si>
  <si>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</si>
  <si>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</si>
  <si>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</si>
  <si>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</si>
  <si>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</si>
  <si>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</si>
  <si>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</si>
  <si>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</si>
  <si>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</si>
  <si>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</si>
  <si>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</si>
  <si>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</si>
  <si>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</si>
  <si>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</si>
  <si>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</si>
  <si>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</si>
  <si>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</si>
  <si>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</si>
  <si>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</si>
  <si>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</si>
  <si>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</si>
  <si>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</si>
  <si>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</si>
  <si>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</si>
  <si>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</si>
  <si>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</si>
  <si>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</si>
  <si>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</si>
  <si>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</si>
  <si>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</si>
  <si>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</si>
  <si>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</si>
  <si>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</si>
  <si>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</si>
  <si>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</si>
  <si>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</si>
  <si>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</si>
  <si>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</si>
  <si>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</si>
  <si>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</si>
  <si>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</si>
  <si>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</si>
  <si>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</si>
  <si>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</si>
  <si>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</si>
  <si>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</si>
  <si>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</si>
  <si>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</si>
  <si>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</si>
  <si>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</si>
  <si>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</si>
  <si>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</si>
  <si>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</si>
  <si>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</si>
  <si>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</si>
  <si>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</si>
  <si>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</si>
  <si>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</si>
  <si>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</si>
  <si>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</si>
  <si>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</si>
  <si>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</si>
  <si>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</si>
  <si>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</si>
  <si>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</si>
  <si>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</si>
  <si>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</si>
  <si>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</si>
  <si>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</si>
  <si>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</si>
  <si>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</si>
  <si>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</si>
  <si>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</si>
  <si>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</si>
  <si>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</si>
  <si>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</si>
  <si>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</si>
  <si>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</si>
  <si>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</si>
  <si>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</si>
  <si>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</si>
  <si>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</si>
  <si>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</si>
  <si>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</si>
  <si>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</si>
  <si>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</si>
  <si>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</si>
  <si>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</si>
  <si>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</si>
  <si>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</si>
  <si>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</si>
  <si>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</si>
  <si>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</si>
  <si>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</si>
  <si>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</si>
  <si>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</si>
  <si>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</si>
  <si>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</si>
  <si>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</si>
  <si>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</si>
  <si>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</si>
  <si>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</si>
  <si>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</si>
  <si>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</si>
  <si>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</si>
  <si>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</si>
  <si>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</si>
  <si>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</si>
  <si>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</si>
  <si>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</si>
  <si>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</si>
  <si>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</si>
  <si>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</si>
  <si>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</si>
  <si>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</si>
  <si>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</si>
  <si>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</si>
  <si>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</si>
  <si>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</si>
  <si>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</si>
  <si>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</si>
  <si>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</si>
  <si>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</si>
  <si>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</si>
  <si>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</si>
  <si>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</si>
  <si>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</si>
  <si>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</si>
  <si>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</si>
  <si>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</si>
  <si>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</si>
  <si>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</si>
  <si>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</si>
  <si>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</si>
  <si>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</si>
  <si>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</si>
  <si>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</si>
  <si>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</si>
  <si>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</si>
  <si>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</si>
  <si>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</si>
  <si>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</si>
  <si>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</si>
  <si>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</si>
  <si>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</si>
  <si>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</si>
  <si>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</si>
  <si>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31-045-1290-61</t>
  </si>
  <si>
    <t>Kane</t>
  </si>
  <si>
    <t>Hope D Wall</t>
  </si>
  <si>
    <t>1877 Downers Place</t>
  </si>
  <si>
    <t>Aurora</t>
  </si>
  <si>
    <t>Dr. Jeff Craig</t>
  </si>
  <si>
    <t>jcraig@sd129.org</t>
  </si>
  <si>
    <t>630-301-5100</t>
  </si>
  <si>
    <t>630-844-5710</t>
  </si>
  <si>
    <t>Crowe LLP</t>
  </si>
  <si>
    <t>Christine Torres</t>
  </si>
  <si>
    <t>One Mid America Plaza</t>
  </si>
  <si>
    <t>Oak Brook</t>
  </si>
  <si>
    <t>IL</t>
  </si>
  <si>
    <t>630-706-2074</t>
  </si>
  <si>
    <t>630-574-1608</t>
  </si>
  <si>
    <t>066-004207</t>
  </si>
  <si>
    <t>christine.torres@crowe.com</t>
  </si>
  <si>
    <t>PDF in Opinion Page with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</si>
</sst>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2">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1247775</xdr:colOff>
          <xdr:row>1</xdr:row>
          <xdr:rowOff>19050</xdr:rowOff>
        </xdr:from>
        <xdr:to>
          <xdr:col>1</xdr:col>
          <xdr:colOff>2162175</xdr:colOff>
          <xdr:row>5</xdr:row>
          <xdr:rowOff>57150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zoomScale="110" zoomScaleNormal="110" workbookViewId="0">
      <selection activeCell="Q13" sqref="Q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8" t="s">
        <v>425</v>
      </c>
      <c r="J1" s="1999"/>
      <c r="K1" s="1999"/>
      <c r="L1" s="1999"/>
      <c r="M1" s="1999"/>
      <c r="N1" s="1999"/>
      <c r="O1" s="1999"/>
      <c r="P1" s="1999"/>
      <c r="Q1" s="1999"/>
      <c r="R1" s="1999"/>
      <c r="S1" s="1999"/>
    </row>
    <row r="2" spans="1:28" ht="12" customHeight="1" x14ac:dyDescent="0.2">
      <c r="A2" s="47" t="s">
        <v>1684</v>
      </c>
      <c r="D2" s="48"/>
      <c r="I2" s="2000" t="s">
        <v>1036</v>
      </c>
      <c r="J2" s="1999"/>
      <c r="K2" s="1999"/>
      <c r="L2" s="1999"/>
      <c r="M2" s="1999"/>
      <c r="N2" s="1999"/>
      <c r="O2" s="1999"/>
      <c r="P2" s="1999"/>
      <c r="Q2" s="1999"/>
      <c r="R2" s="1999"/>
      <c r="S2" s="1999"/>
    </row>
    <row r="3" spans="1:28" ht="12" customHeight="1" x14ac:dyDescent="0.2">
      <c r="A3" s="155" t="s">
        <v>1685</v>
      </c>
      <c r="B3" s="156"/>
      <c r="C3" s="156"/>
      <c r="D3" s="157"/>
      <c r="I3" s="2000" t="s">
        <v>54</v>
      </c>
      <c r="J3" s="1999"/>
      <c r="K3" s="1999"/>
      <c r="L3" s="1999"/>
      <c r="M3" s="1999"/>
      <c r="N3" s="1999"/>
      <c r="O3" s="1999"/>
      <c r="P3" s="1999"/>
      <c r="Q3" s="1999"/>
      <c r="R3" s="1999"/>
      <c r="S3" s="1999"/>
    </row>
    <row r="4" spans="1:28" ht="12" customHeight="1" x14ac:dyDescent="0.2">
      <c r="A4" s="37"/>
      <c r="I4" s="2000" t="s">
        <v>545</v>
      </c>
      <c r="J4" s="1999"/>
      <c r="K4" s="1999"/>
      <c r="L4" s="1999"/>
      <c r="M4" s="1999"/>
      <c r="N4" s="1999"/>
      <c r="O4" s="1999"/>
      <c r="P4" s="1999"/>
      <c r="Q4" s="1999"/>
      <c r="R4" s="1999"/>
      <c r="S4" s="1999"/>
    </row>
    <row r="5" spans="1:28" ht="14.1" customHeight="1" x14ac:dyDescent="0.2">
      <c r="B5" s="104"/>
      <c r="C5" s="26" t="s">
        <v>966</v>
      </c>
      <c r="D5" s="84"/>
      <c r="E5" s="84"/>
      <c r="H5" s="38"/>
      <c r="I5" s="2008" t="s">
        <v>701</v>
      </c>
      <c r="J5" s="2007"/>
      <c r="K5" s="2007"/>
      <c r="L5" s="2007"/>
      <c r="M5" s="2007"/>
      <c r="N5" s="2007"/>
      <c r="O5" s="2007"/>
      <c r="P5" s="2007"/>
      <c r="Q5" s="2007"/>
      <c r="R5" s="2007"/>
      <c r="S5" s="2007"/>
    </row>
    <row r="6" spans="1:28" ht="14.1" customHeight="1" x14ac:dyDescent="0.2">
      <c r="B6" s="104" t="s">
        <v>2077</v>
      </c>
      <c r="C6" s="26" t="s">
        <v>967</v>
      </c>
      <c r="D6" s="84"/>
      <c r="E6" s="84"/>
      <c r="I6" s="2006" t="s">
        <v>938</v>
      </c>
      <c r="J6" s="2007"/>
      <c r="K6" s="2007"/>
      <c r="L6" s="2007"/>
      <c r="M6" s="2007"/>
      <c r="N6" s="2007"/>
      <c r="O6" s="2007"/>
      <c r="P6" s="2007"/>
      <c r="Q6" s="2007"/>
      <c r="R6" s="2007"/>
      <c r="S6" s="2007"/>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695</v>
      </c>
      <c r="J9" s="2004"/>
      <c r="K9" s="2004"/>
      <c r="L9" s="2004"/>
      <c r="M9" s="2004"/>
      <c r="N9" s="2004"/>
      <c r="O9" s="2004"/>
      <c r="P9" s="2004"/>
      <c r="Q9" s="2004"/>
      <c r="R9" s="2004"/>
      <c r="S9" s="2005"/>
      <c r="T9" s="2019" t="s">
        <v>554</v>
      </c>
      <c r="U9" s="2020"/>
      <c r="V9" s="2020"/>
      <c r="W9" s="2020"/>
      <c r="X9" s="2020"/>
      <c r="Y9" s="2020"/>
      <c r="Z9" s="2020"/>
      <c r="AA9" s="2021"/>
    </row>
    <row r="10" spans="1:28" ht="13.5" customHeight="1" x14ac:dyDescent="0.2">
      <c r="A10" s="2026" t="s">
        <v>696</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1012</v>
      </c>
      <c r="B11" s="2030"/>
      <c r="C11" s="2030"/>
      <c r="D11" s="2030"/>
      <c r="E11" s="2030"/>
      <c r="F11" s="2030"/>
      <c r="G11" s="2030"/>
      <c r="H11" s="2031"/>
      <c r="I11" s="27"/>
      <c r="J11" s="74"/>
      <c r="K11" s="27"/>
      <c r="O11" s="148"/>
      <c r="P11" s="100" t="s">
        <v>210</v>
      </c>
      <c r="Q11" s="30"/>
      <c r="R11" s="28"/>
      <c r="S11" s="27"/>
      <c r="T11" s="2023"/>
      <c r="U11" s="2024"/>
      <c r="V11" s="2024"/>
      <c r="W11" s="2024"/>
      <c r="X11" s="2024"/>
      <c r="Y11" s="2024"/>
      <c r="Z11" s="2024"/>
      <c r="AA11" s="2025"/>
    </row>
    <row r="12" spans="1:28" ht="13.5" customHeight="1" x14ac:dyDescent="0.2">
      <c r="A12" s="85" t="s">
        <v>982</v>
      </c>
      <c r="B12" s="76"/>
      <c r="C12" s="76"/>
      <c r="D12" s="76"/>
      <c r="E12" s="76"/>
      <c r="F12" s="76"/>
      <c r="G12" s="76"/>
      <c r="H12" s="53"/>
      <c r="I12" s="29"/>
      <c r="J12" s="30"/>
      <c r="K12" s="28"/>
      <c r="O12" s="149" t="s">
        <v>2077</v>
      </c>
      <c r="P12" s="100" t="s">
        <v>211</v>
      </c>
      <c r="Q12" s="74"/>
      <c r="R12" s="30"/>
      <c r="S12" s="30"/>
      <c r="T12" s="85" t="s">
        <v>283</v>
      </c>
      <c r="U12" s="51"/>
      <c r="V12" s="51"/>
      <c r="W12" s="51"/>
      <c r="X12" s="51"/>
      <c r="Y12" s="45"/>
      <c r="Z12" s="45"/>
      <c r="AA12" s="46"/>
    </row>
    <row r="13" spans="1:28" ht="13.5" customHeight="1" x14ac:dyDescent="0.2">
      <c r="A13" s="2033" t="s">
        <v>2078</v>
      </c>
      <c r="B13" s="2034"/>
      <c r="C13" s="2034"/>
      <c r="D13" s="2034"/>
      <c r="E13" s="2034"/>
      <c r="F13" s="2034"/>
      <c r="G13" s="2034"/>
      <c r="H13" s="2035"/>
      <c r="I13" s="31"/>
      <c r="J13" s="30"/>
      <c r="K13" s="28"/>
      <c r="L13" s="30"/>
      <c r="M13" s="30"/>
      <c r="N13" s="30"/>
      <c r="O13" s="30"/>
      <c r="P13" s="30"/>
      <c r="Q13" s="30"/>
      <c r="R13" s="30"/>
      <c r="S13" s="30"/>
      <c r="T13" s="2038" t="s">
        <v>2087</v>
      </c>
      <c r="U13" s="2039"/>
      <c r="V13" s="2039"/>
      <c r="W13" s="2039"/>
      <c r="X13" s="2039"/>
      <c r="Y13" s="2040"/>
      <c r="Z13" s="2040"/>
      <c r="AA13" s="204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2" t="s">
        <v>2079</v>
      </c>
      <c r="B15" s="2036"/>
      <c r="C15" s="2036"/>
      <c r="D15" s="2036"/>
      <c r="E15" s="2036"/>
      <c r="F15" s="2036"/>
      <c r="G15" s="2036"/>
      <c r="H15" s="2037"/>
      <c r="T15" s="2042" t="s">
        <v>2088</v>
      </c>
      <c r="U15" s="1986"/>
      <c r="V15" s="1986"/>
      <c r="W15" s="1986"/>
      <c r="X15" s="1986"/>
      <c r="Y15" s="2043"/>
      <c r="Z15" s="2043"/>
      <c r="AA15" s="204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2" t="s">
        <v>2080</v>
      </c>
      <c r="B17" s="1993"/>
      <c r="C17" s="1993"/>
      <c r="D17" s="1993"/>
      <c r="E17" s="1993"/>
      <c r="F17" s="1993"/>
      <c r="G17" s="1993"/>
      <c r="H17" s="2018"/>
      <c r="T17" s="2049" t="s">
        <v>2089</v>
      </c>
      <c r="U17" s="2050"/>
      <c r="V17" s="2050"/>
      <c r="W17" s="2050"/>
      <c r="X17" s="2050"/>
      <c r="Y17" s="2050"/>
      <c r="Z17" s="2050"/>
      <c r="AA17" s="2051"/>
    </row>
    <row r="18" spans="1:27" ht="13.5" customHeight="1" x14ac:dyDescent="0.2">
      <c r="A18" s="85" t="s">
        <v>551</v>
      </c>
      <c r="B18" s="76"/>
      <c r="C18" s="72"/>
      <c r="D18" s="76"/>
      <c r="E18" s="76"/>
      <c r="F18" s="76"/>
      <c r="G18" s="76"/>
      <c r="H18" s="56"/>
      <c r="I18" s="2017" t="s">
        <v>697</v>
      </c>
      <c r="J18" s="1968"/>
      <c r="K18" s="1968"/>
      <c r="L18" s="1968"/>
      <c r="M18" s="1968"/>
      <c r="N18" s="1968"/>
      <c r="O18" s="1968"/>
      <c r="P18" s="1968"/>
      <c r="Q18" s="1968"/>
      <c r="R18" s="1968"/>
      <c r="S18" s="1969"/>
      <c r="T18" s="85" t="s">
        <v>735</v>
      </c>
      <c r="U18" s="51"/>
      <c r="V18" s="72"/>
      <c r="W18" s="50"/>
      <c r="X18" s="85" t="s">
        <v>284</v>
      </c>
      <c r="Y18" s="81"/>
      <c r="Z18" s="159" t="s">
        <v>698</v>
      </c>
      <c r="AA18" s="46"/>
    </row>
    <row r="19" spans="1:27" ht="13.5" customHeight="1" x14ac:dyDescent="0.2">
      <c r="A19" s="2032" t="s">
        <v>2081</v>
      </c>
      <c r="B19" s="1978"/>
      <c r="C19" s="1978"/>
      <c r="D19" s="1978"/>
      <c r="E19" s="1978"/>
      <c r="F19" s="1978"/>
      <c r="G19" s="1978"/>
      <c r="H19" s="1958"/>
      <c r="I19" s="30"/>
      <c r="J19" s="99"/>
      <c r="K19" s="40"/>
      <c r="L19" s="38"/>
      <c r="M19" s="112" t="s">
        <v>333</v>
      </c>
      <c r="P19" s="27"/>
      <c r="Q19" s="27"/>
      <c r="R19" s="27"/>
      <c r="S19" s="31"/>
      <c r="T19" s="2032" t="s">
        <v>2090</v>
      </c>
      <c r="U19" s="1957"/>
      <c r="V19" s="1957"/>
      <c r="W19" s="1958"/>
      <c r="X19" s="2047" t="s">
        <v>2091</v>
      </c>
      <c r="Y19" s="2048"/>
      <c r="Z19" s="2045">
        <v>60522</v>
      </c>
      <c r="AA19" s="204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6" t="s">
        <v>2082</v>
      </c>
      <c r="B21" s="1957"/>
      <c r="C21" s="1957"/>
      <c r="D21" s="1957"/>
      <c r="E21" s="1957"/>
      <c r="F21" s="1957"/>
      <c r="G21" s="1957"/>
      <c r="H21" s="1958"/>
      <c r="I21" s="2012" t="s">
        <v>699</v>
      </c>
      <c r="J21" s="2007"/>
      <c r="K21" s="2007"/>
      <c r="L21" s="2007"/>
      <c r="M21" s="2007"/>
      <c r="N21" s="2007"/>
      <c r="O21" s="2007"/>
      <c r="P21" s="2007"/>
      <c r="Q21" s="2007"/>
      <c r="R21" s="2007"/>
      <c r="S21" s="2013"/>
      <c r="T21" s="2056" t="s">
        <v>2092</v>
      </c>
      <c r="U21" s="2057"/>
      <c r="V21" s="2057"/>
      <c r="W21" s="2057"/>
      <c r="X21" s="2062" t="s">
        <v>2093</v>
      </c>
      <c r="Y21" s="2063"/>
      <c r="Z21" s="2063"/>
      <c r="AA21" s="2064"/>
    </row>
    <row r="22" spans="1:27" ht="13.5" customHeight="1" x14ac:dyDescent="0.2">
      <c r="A22" s="87" t="s">
        <v>552</v>
      </c>
      <c r="B22" s="59"/>
      <c r="C22" s="59"/>
      <c r="D22" s="59"/>
      <c r="E22" s="59"/>
      <c r="F22" s="59"/>
      <c r="G22" s="59"/>
      <c r="H22" s="60"/>
      <c r="I22" s="2014" t="s">
        <v>1504</v>
      </c>
      <c r="J22" s="2015"/>
      <c r="K22" s="2015"/>
      <c r="L22" s="2015"/>
      <c r="M22" s="2015"/>
      <c r="N22" s="2015"/>
      <c r="O22" s="2015"/>
      <c r="P22" s="2015"/>
      <c r="Q22" s="2015"/>
      <c r="R22" s="2015"/>
      <c r="S22" s="2016"/>
      <c r="T22" s="85" t="s">
        <v>1596</v>
      </c>
      <c r="U22" s="51"/>
      <c r="V22" s="72"/>
      <c r="W22" s="51"/>
      <c r="X22" s="160" t="s">
        <v>1385</v>
      </c>
      <c r="Z22" s="45"/>
      <c r="AA22" s="46"/>
    </row>
    <row r="23" spans="1:27" ht="13.5" customHeight="1" x14ac:dyDescent="0.2">
      <c r="A23" s="2009"/>
      <c r="B23" s="2010"/>
      <c r="C23" s="2010"/>
      <c r="D23" s="2010"/>
      <c r="E23" s="2010"/>
      <c r="F23" s="2010"/>
      <c r="G23" s="2010"/>
      <c r="H23" s="2011"/>
      <c r="T23" s="1992" t="s">
        <v>2094</v>
      </c>
      <c r="U23" s="2055"/>
      <c r="V23" s="2055"/>
      <c r="W23" s="2055"/>
      <c r="X23" s="2059">
        <v>43799</v>
      </c>
      <c r="Y23" s="2060"/>
      <c r="Z23" s="2060"/>
      <c r="AA23" s="2061"/>
    </row>
    <row r="24" spans="1:27" ht="14.1" customHeight="1" x14ac:dyDescent="0.2">
      <c r="A24" s="88" t="s">
        <v>698</v>
      </c>
      <c r="B24" s="49"/>
      <c r="C24" s="49"/>
      <c r="D24" s="49"/>
      <c r="E24" s="49"/>
      <c r="F24" s="49"/>
      <c r="G24" s="49"/>
      <c r="H24" s="61"/>
      <c r="J24" s="1979" t="str">
        <f>IF(B5="x",IF(AUDITCHECK!D29="AFR form Incomplete.","",IF(AUDITCHECK!D29="Deficit reduction plan is required.","School District must complete a deficit reduction plan in the 2018-2019 Budget",)),"")</f>
        <v/>
      </c>
      <c r="K24" s="1979"/>
      <c r="L24" s="1979"/>
      <c r="M24" s="1979"/>
      <c r="N24" s="1979"/>
      <c r="O24" s="1979"/>
      <c r="P24" s="1979"/>
      <c r="Q24" s="1979"/>
      <c r="R24" s="1979"/>
      <c r="S24" s="1980"/>
      <c r="T24" s="105" t="s">
        <v>552</v>
      </c>
      <c r="U24" s="106"/>
      <c r="V24" s="106"/>
      <c r="W24" s="106"/>
      <c r="X24" s="107"/>
      <c r="Y24" s="107"/>
      <c r="Z24" s="107"/>
      <c r="AA24" s="108"/>
    </row>
    <row r="25" spans="1:27" ht="14.1" customHeight="1" x14ac:dyDescent="0.2">
      <c r="A25" s="1956">
        <v>60506</v>
      </c>
      <c r="B25" s="1957"/>
      <c r="C25" s="1957"/>
      <c r="D25" s="1957"/>
      <c r="E25" s="1957"/>
      <c r="F25" s="1957"/>
      <c r="G25" s="1957"/>
      <c r="H25" s="1958"/>
      <c r="I25" s="113"/>
      <c r="J25" s="1981"/>
      <c r="K25" s="1981"/>
      <c r="L25" s="1981"/>
      <c r="M25" s="1981"/>
      <c r="N25" s="1981"/>
      <c r="O25" s="1981"/>
      <c r="P25" s="1981"/>
      <c r="Q25" s="1981"/>
      <c r="R25" s="1981"/>
      <c r="S25" s="1982"/>
      <c r="T25" s="2052" t="s">
        <v>2095</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7" t="s">
        <v>1591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2" t="s">
        <v>2083</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552</v>
      </c>
      <c r="B39" s="1963"/>
      <c r="C39" s="72"/>
      <c r="D39" s="69"/>
      <c r="E39" s="69"/>
      <c r="F39" s="79"/>
      <c r="G39" s="69"/>
      <c r="H39" s="56"/>
      <c r="I39" s="1962" t="s">
        <v>552</v>
      </c>
      <c r="J39" s="1963"/>
      <c r="K39" s="1963"/>
      <c r="L39" s="1963"/>
      <c r="M39" s="1963"/>
      <c r="N39" s="67"/>
      <c r="O39" s="72"/>
      <c r="P39" s="72"/>
      <c r="Q39" s="78"/>
      <c r="R39" s="72"/>
      <c r="S39" s="56"/>
      <c r="T39" s="72" t="s">
        <v>552</v>
      </c>
      <c r="U39" s="51"/>
      <c r="V39" s="72"/>
      <c r="W39" s="50"/>
      <c r="X39" s="78"/>
      <c r="Y39" s="45"/>
      <c r="Z39" s="45"/>
      <c r="AA39" s="46"/>
    </row>
    <row r="40" spans="1:27" ht="13.5" customHeight="1" x14ac:dyDescent="0.2">
      <c r="A40" s="1970" t="s">
        <v>2084</v>
      </c>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4" t="s">
        <v>2085</v>
      </c>
      <c r="B42" s="1976"/>
      <c r="C42" s="1977"/>
      <c r="D42" s="1975" t="s">
        <v>2086</v>
      </c>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1"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1230</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3" t="s">
        <v>1731</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3" t="s">
        <v>331</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1390</v>
      </c>
      <c r="B70" s="2086"/>
      <c r="C70" s="2086"/>
      <c r="D70" s="2086"/>
      <c r="E70" s="2087"/>
      <c r="F70" s="2087"/>
      <c r="G70" s="2087"/>
      <c r="H70" s="2087"/>
      <c r="I70" s="208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1387</v>
      </c>
      <c r="B83" s="2088"/>
      <c r="C83" s="2088"/>
      <c r="D83" s="208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2087</v>
      </c>
      <c r="D114" s="207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1397</v>
      </c>
      <c r="D117" s="2081"/>
      <c r="E117" s="2082"/>
      <c r="F117" s="2082"/>
      <c r="G117" s="2082"/>
      <c r="H117" s="2082"/>
      <c r="I117" s="304"/>
    </row>
    <row r="118" spans="1:9" s="181" customFormat="1" ht="24" customHeight="1" x14ac:dyDescent="0.2">
      <c r="A118" s="316"/>
      <c r="B118" s="316"/>
      <c r="C118" s="316"/>
      <c r="D118" s="323" t="s">
        <v>2096</v>
      </c>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404</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6194277</v>
      </c>
      <c r="E16" s="356"/>
      <c r="F16" s="1755">
        <f>SUM('Acct Summary 7-8'!C17,'Acct Summary 7-8'!D17,'Acct Summary 7-8'!F17)</f>
        <v>7053915</v>
      </c>
      <c r="G16" s="356"/>
      <c r="H16" s="1755">
        <f>SUM(D16-F16)</f>
        <v>-859638</v>
      </c>
      <c r="I16" s="222"/>
      <c r="J16" s="1755">
        <f>SUM('Acct Summary 7-8'!C81,'Acct Summary 7-8'!D81,'Acct Summary 7-8'!F81,'Acct Summary 7-8'!I81)</f>
        <v>-293681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Hope D Wall</v>
      </c>
      <c r="E7" s="391"/>
      <c r="G7" s="252"/>
      <c r="H7" s="387"/>
      <c r="I7" s="387"/>
      <c r="J7" s="387"/>
      <c r="K7" s="387"/>
      <c r="L7" s="329"/>
      <c r="M7" s="329"/>
      <c r="N7" s="329"/>
      <c r="O7" s="329"/>
      <c r="P7" s="329"/>
    </row>
    <row r="8" spans="1:18" ht="12.75" x14ac:dyDescent="0.2">
      <c r="A8" s="329"/>
      <c r="B8" s="329"/>
      <c r="C8" s="389" t="s">
        <v>1187</v>
      </c>
      <c r="D8" s="392" t="str">
        <f>COVER!A13</f>
        <v>31-045-1290-61</v>
      </c>
      <c r="E8" s="393"/>
      <c r="G8" s="329"/>
      <c r="H8" s="329"/>
      <c r="I8" s="329"/>
      <c r="J8" s="329"/>
      <c r="K8" s="329"/>
      <c r="L8" s="329"/>
      <c r="M8" s="329"/>
      <c r="N8" s="329"/>
      <c r="O8" s="329"/>
      <c r="P8" s="329"/>
    </row>
    <row r="9" spans="1:18" ht="12.75" x14ac:dyDescent="0.2">
      <c r="A9" s="329"/>
      <c r="B9" s="329"/>
      <c r="C9" s="389" t="s">
        <v>737</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f>IF(K12&gt;0.24999,"4",IF(K12&gt;0.09999,"3",IF(K12&gt;=0,"2",1)))</f>
        <v>1</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-293681</v>
      </c>
      <c r="I12" s="404"/>
      <c r="J12" s="404"/>
      <c r="K12" s="405">
        <f>TRUNC((H12/H13*100000),5)/100000</f>
        <v>-4.74116672E-2</v>
      </c>
      <c r="L12" s="406"/>
      <c r="M12" s="360" t="s">
        <v>1206</v>
      </c>
      <c r="N12" s="360"/>
      <c r="O12" s="407">
        <v>0.35</v>
      </c>
      <c r="P12" s="218"/>
      <c r="Q12" s="218"/>
    </row>
    <row r="13" spans="1:18" s="408" customFormat="1" ht="12.75" x14ac:dyDescent="0.2">
      <c r="A13" s="218"/>
      <c r="B13" s="401"/>
      <c r="C13" s="2116" t="s">
        <v>1391</v>
      </c>
      <c r="D13" s="2117"/>
      <c r="E13" s="218"/>
      <c r="F13" s="409" t="s">
        <v>826</v>
      </c>
      <c r="G13" s="402"/>
      <c r="H13" s="403">
        <f>SUM('Acct Summary 7-8'!C8+'Acct Summary 7-8'!D8+'Acct Summary 7-8'!F8+'Acct Summary 7-8'!I8)+H14</f>
        <v>6194277</v>
      </c>
      <c r="I13" s="404"/>
      <c r="J13" s="404"/>
      <c r="K13" s="410"/>
      <c r="L13" s="218"/>
      <c r="M13" s="360" t="s">
        <v>1207</v>
      </c>
      <c r="N13" s="360"/>
      <c r="O13" s="411">
        <f>(O11*O12)</f>
        <v>0.35</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2</v>
      </c>
      <c r="P16" s="216"/>
      <c r="R16" s="384"/>
    </row>
    <row r="17" spans="1:18" s="408" customFormat="1" ht="11.25" x14ac:dyDescent="0.2">
      <c r="A17" s="218"/>
      <c r="B17" s="401"/>
      <c r="C17" s="218" t="s">
        <v>830</v>
      </c>
      <c r="D17" s="218"/>
      <c r="E17" s="218"/>
      <c r="F17" s="218" t="s">
        <v>464</v>
      </c>
      <c r="G17" s="402"/>
      <c r="H17" s="403">
        <f>SUM('Acct Summary 7-8'!C17+'Acct Summary 7-8'!D17+'Acct Summary 7-8'!F17)</f>
        <v>7053915</v>
      </c>
      <c r="I17" s="404"/>
      <c r="J17" s="416"/>
      <c r="K17" s="405">
        <f>TRUNC((H17/H18*100000),5)/100000</f>
        <v>1.1387793926000001</v>
      </c>
      <c r="L17" s="406"/>
      <c r="M17" s="417" t="s">
        <v>1233</v>
      </c>
      <c r="O17" s="418" t="str">
        <f>IF(AND(O16="2", J20 &gt; 2),"1",IF(AND(O16 = "1", J20 &gt; 2),"2",IF(AND(O16="1", J20 &gt;1),"1","0")))</f>
        <v>0</v>
      </c>
      <c r="P17" s="218"/>
    </row>
    <row r="18" spans="1:18" s="408" customFormat="1" ht="11.25" x14ac:dyDescent="0.2">
      <c r="A18" s="218"/>
      <c r="B18" s="401"/>
      <c r="C18" s="2116" t="s">
        <v>1384</v>
      </c>
      <c r="D18" s="2117"/>
      <c r="E18" s="218"/>
      <c r="F18" s="419" t="s">
        <v>827</v>
      </c>
      <c r="G18" s="402"/>
      <c r="H18" s="403">
        <f>SUM('Acct Summary 7-8'!C8+'Acct Summary 7-8'!D8+'Acct Summary 7-8'!F8+'Acct Summary 7-8'!I8)+H19</f>
        <v>6194277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-1.0622014</v>
      </c>
      <c r="K20" s="405" t="str">
        <f>IF(K17&lt;=1,"0",IF(AND(O16="2", J20 &gt; 2),TRUNC(((K12-0.1)/(K17-1)*100),5)/100,IF(AND(O16 = "1", J20 &gt; 2),TRUNC(((K12-0.1)/(K17-1)*100),5)/100,IF(AND(O16="1", J20 &gt;1),TRUNC(((K12-0.1)/(K17-1)*100),5)/100,""))))</f>
        <v/>
      </c>
      <c r="L20" s="218"/>
      <c r="M20" s="360" t="s">
        <v>1207</v>
      </c>
      <c r="N20" s="360"/>
      <c r="O20" s="411">
        <f>(O16+O17)*O18</f>
        <v>0.7</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f>IF(K24&gt;=180,"4",IF(K24&gt;=90,"3",IF(K24&gt;=30,"2",1)))</f>
        <v>1</v>
      </c>
      <c r="P23" s="216"/>
      <c r="R23" s="384"/>
    </row>
    <row r="24" spans="1:18" s="408" customFormat="1" ht="11.25" x14ac:dyDescent="0.2">
      <c r="A24" s="218"/>
      <c r="B24" s="401"/>
      <c r="C24" s="2113" t="s">
        <v>1479</v>
      </c>
      <c r="D24" s="2113"/>
      <c r="E24" s="218"/>
      <c r="F24" s="218" t="s">
        <v>465</v>
      </c>
      <c r="G24" s="402"/>
      <c r="H24" s="403">
        <f>SUM('Assets-Liab 5-6'!C4+'Assets-Liab 5-6'!D4+'Assets-Liab 5-6'!F4+'Assets-Liab 5-6'!I4+'Assets-Liab 5-6'!C5+'Assets-Liab 5-6'!D5+'Assets-Liab 5-6'!F5+'Assets-Liab 5-6'!I5)</f>
        <v>0</v>
      </c>
      <c r="I24" s="422"/>
      <c r="J24" s="422"/>
      <c r="K24" s="423">
        <f>TRUNC(((H24/H25*100000)/100000),2)</f>
        <v>0</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19594.208330000001</v>
      </c>
      <c r="I25" s="425"/>
      <c r="J25" s="425"/>
      <c r="K25" s="410"/>
      <c r="L25" s="218"/>
      <c r="M25" s="360" t="s">
        <v>1207</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activeCell="A47" sqref="A47"/>
      <selection pane="bottomLeft" activeCell="G40" sqref="G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3" t="s">
        <v>1030</v>
      </c>
      <c r="B3" s="2124"/>
      <c r="C3" s="1581"/>
      <c r="D3" s="1582"/>
      <c r="E3" s="1582"/>
      <c r="F3" s="1582"/>
      <c r="G3" s="1582"/>
      <c r="H3" s="1582"/>
      <c r="I3" s="1582"/>
      <c r="J3" s="1582"/>
      <c r="K3" s="1582"/>
      <c r="L3" s="1582"/>
      <c r="M3" s="1583"/>
      <c r="N3" s="1584"/>
    </row>
    <row r="4" spans="1:14" ht="13.5" customHeight="1" x14ac:dyDescent="0.2">
      <c r="A4" s="463" t="s">
        <v>1750</v>
      </c>
      <c r="B4" s="464"/>
      <c r="C4" s="465"/>
      <c r="D4" s="466"/>
      <c r="E4" s="466"/>
      <c r="F4" s="466"/>
      <c r="G4" s="466">
        <v>327541</v>
      </c>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v>1883503</v>
      </c>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v>2856061</v>
      </c>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4739564</v>
      </c>
      <c r="D13" s="1759">
        <f t="shared" ref="D13:L13" si="0">SUM(D4:D12)</f>
        <v>0</v>
      </c>
      <c r="E13" s="1759">
        <f t="shared" si="0"/>
        <v>0</v>
      </c>
      <c r="F13" s="1759">
        <f t="shared" si="0"/>
        <v>0</v>
      </c>
      <c r="G13" s="1759">
        <f t="shared" si="0"/>
        <v>327541</v>
      </c>
      <c r="H13" s="1759">
        <f t="shared" si="0"/>
        <v>0</v>
      </c>
      <c r="I13" s="1759">
        <f t="shared" si="0"/>
        <v>0</v>
      </c>
      <c r="J13" s="1759">
        <f t="shared" si="0"/>
        <v>0</v>
      </c>
      <c r="K13" s="1759">
        <f t="shared" si="0"/>
        <v>0</v>
      </c>
      <c r="L13" s="1759">
        <f t="shared" si="0"/>
        <v>0</v>
      </c>
      <c r="M13" s="468"/>
      <c r="N13" s="469"/>
    </row>
    <row r="14" spans="1:14" ht="18" customHeight="1" thickTop="1" x14ac:dyDescent="0.2">
      <c r="A14" s="2125" t="s">
        <v>149</v>
      </c>
      <c r="B14" s="2126"/>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0</v>
      </c>
      <c r="N23" s="1710">
        <f>SUM(N21:N22)</f>
        <v>0</v>
      </c>
    </row>
    <row r="24" spans="1:14" ht="18" customHeight="1" thickTop="1" x14ac:dyDescent="0.2">
      <c r="A24" s="2127" t="s">
        <v>619</v>
      </c>
      <c r="B24" s="2128"/>
      <c r="C24" s="1590"/>
      <c r="D24" s="1587"/>
      <c r="E24" s="1587"/>
      <c r="F24" s="1587"/>
      <c r="G24" s="1587"/>
      <c r="H24" s="1587"/>
      <c r="I24" s="1587"/>
      <c r="J24" s="1587"/>
      <c r="K24" s="1587"/>
      <c r="L24" s="1587"/>
      <c r="M24" s="1586"/>
      <c r="N24" s="1591"/>
    </row>
    <row r="25" spans="1:14" x14ac:dyDescent="0.2">
      <c r="A25" s="473" t="s">
        <v>666</v>
      </c>
      <c r="B25" s="470">
        <v>410</v>
      </c>
      <c r="C25" s="478"/>
      <c r="D25" s="478">
        <v>1883503</v>
      </c>
      <c r="E25" s="478"/>
      <c r="F25" s="478"/>
      <c r="G25" s="478"/>
      <c r="H25" s="479"/>
      <c r="I25" s="468"/>
      <c r="J25" s="478"/>
      <c r="K25" s="478"/>
      <c r="L25" s="468"/>
      <c r="M25" s="468"/>
      <c r="N25" s="468"/>
    </row>
    <row r="26" spans="1:14" x14ac:dyDescent="0.2">
      <c r="A26" s="473" t="s">
        <v>667</v>
      </c>
      <c r="B26" s="470">
        <v>420</v>
      </c>
      <c r="C26" s="467">
        <v>1219</v>
      </c>
      <c r="D26" s="467">
        <v>29382</v>
      </c>
      <c r="E26" s="467"/>
      <c r="F26" s="467"/>
      <c r="G26" s="467"/>
      <c r="H26" s="467"/>
      <c r="I26" s="467"/>
      <c r="J26" s="474"/>
      <c r="K26" s="467"/>
      <c r="L26" s="468"/>
      <c r="M26" s="468"/>
      <c r="N26" s="468"/>
    </row>
    <row r="27" spans="1:14" ht="13.5" customHeight="1" x14ac:dyDescent="0.2">
      <c r="A27" s="473" t="s">
        <v>668</v>
      </c>
      <c r="B27" s="470">
        <v>430</v>
      </c>
      <c r="C27" s="467">
        <v>2291309</v>
      </c>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679401</v>
      </c>
      <c r="D30" s="474">
        <v>948</v>
      </c>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v>147483</v>
      </c>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3119412</v>
      </c>
      <c r="D34" s="1762">
        <f t="shared" ref="D34:K34" si="1">SUM(D25:D33)</f>
        <v>1913833</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29" t="s">
        <v>550</v>
      </c>
      <c r="B35" s="2130"/>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1620152</v>
      </c>
      <c r="D39" s="466">
        <v>-1913833</v>
      </c>
      <c r="E39" s="466"/>
      <c r="F39" s="466"/>
      <c r="G39" s="466">
        <v>327541</v>
      </c>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c r="N40" s="497"/>
    </row>
    <row r="41" spans="1:14" ht="13.5" customHeight="1" thickBot="1" x14ac:dyDescent="0.25">
      <c r="A41" s="1758" t="s">
        <v>676</v>
      </c>
      <c r="B41" s="1728"/>
      <c r="C41" s="1710">
        <f>(SUM(C34,C37,C38,C39))</f>
        <v>4739564</v>
      </c>
      <c r="D41" s="1710">
        <f t="shared" ref="D41:L41" si="2">SUM(D34,D37,D38:D39)</f>
        <v>0</v>
      </c>
      <c r="E41" s="1710">
        <f t="shared" si="2"/>
        <v>0</v>
      </c>
      <c r="F41" s="1710">
        <f t="shared" si="2"/>
        <v>0</v>
      </c>
      <c r="G41" s="1710">
        <f t="shared" si="2"/>
        <v>327541</v>
      </c>
      <c r="H41" s="1710">
        <f t="shared" si="2"/>
        <v>0</v>
      </c>
      <c r="I41" s="1710">
        <f t="shared" si="2"/>
        <v>0</v>
      </c>
      <c r="J41" s="1710">
        <f t="shared" si="2"/>
        <v>0</v>
      </c>
      <c r="K41" s="1710">
        <f t="shared" si="2"/>
        <v>0</v>
      </c>
      <c r="L41" s="1710">
        <f t="shared" si="2"/>
        <v>0</v>
      </c>
      <c r="M41" s="1710">
        <f>SUM(M40)</f>
        <v>0</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3" sqref="C13:D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1" t="s">
        <v>1237</v>
      </c>
      <c r="B3" s="2152"/>
      <c r="C3" s="1595"/>
      <c r="D3" s="1596"/>
      <c r="E3" s="1596"/>
      <c r="F3" s="1596"/>
      <c r="G3" s="1596"/>
      <c r="H3" s="1596"/>
      <c r="I3" s="1596"/>
      <c r="J3" s="1596"/>
      <c r="K3" s="1597"/>
      <c r="L3" s="506"/>
    </row>
    <row r="4" spans="1:13" ht="15.75" customHeight="1" x14ac:dyDescent="0.2">
      <c r="A4" s="1954" t="s">
        <v>1579</v>
      </c>
      <c r="B4" s="1955">
        <v>1000</v>
      </c>
      <c r="C4" s="1764">
        <f>'Revenues 9-14'!C109</f>
        <v>4911170</v>
      </c>
      <c r="D4" s="1764">
        <f>'Revenues 9-14'!D109</f>
        <v>1000000</v>
      </c>
      <c r="E4" s="1764">
        <f>'Revenues 9-14'!E109</f>
        <v>0</v>
      </c>
      <c r="F4" s="1764">
        <f>'Revenues 9-14'!F109</f>
        <v>0</v>
      </c>
      <c r="G4" s="1764">
        <f>'Revenues 9-14'!G109</f>
        <v>1000000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133061</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150046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5194277</v>
      </c>
      <c r="D8" s="1710">
        <f t="shared" ref="D8:K8" si="0">SUM(D4:D7)</f>
        <v>1000000</v>
      </c>
      <c r="E8" s="1710">
        <f t="shared" si="0"/>
        <v>0</v>
      </c>
      <c r="F8" s="1710">
        <f t="shared" si="0"/>
        <v>0</v>
      </c>
      <c r="G8" s="1710">
        <f t="shared" si="0"/>
        <v>1000000</v>
      </c>
      <c r="H8" s="1710">
        <f t="shared" si="0"/>
        <v>0</v>
      </c>
      <c r="I8" s="1710">
        <f t="shared" si="0"/>
        <v>0</v>
      </c>
      <c r="J8" s="1710">
        <f t="shared" si="0"/>
        <v>0</v>
      </c>
      <c r="K8" s="1710">
        <f t="shared" si="0"/>
        <v>0</v>
      </c>
      <c r="L8" s="347"/>
    </row>
    <row r="9" spans="1:13" ht="15.75" thickTop="1" x14ac:dyDescent="0.2">
      <c r="A9" s="514" t="s">
        <v>1752</v>
      </c>
      <c r="B9" s="515">
        <v>3998</v>
      </c>
      <c r="C9" s="481"/>
      <c r="D9" s="516"/>
      <c r="E9" s="481"/>
      <c r="F9" s="481"/>
      <c r="G9" s="517"/>
      <c r="H9" s="481"/>
      <c r="I9" s="509" t="s">
        <v>1231</v>
      </c>
      <c r="J9" s="478"/>
      <c r="K9" s="481"/>
      <c r="L9" s="347"/>
    </row>
    <row r="10" spans="1:13" s="519" customFormat="1" ht="13.5" thickBot="1" x14ac:dyDescent="0.25">
      <c r="A10" s="1758" t="s">
        <v>1235</v>
      </c>
      <c r="B10" s="1731"/>
      <c r="C10" s="1710">
        <f>SUM(C8:C9)</f>
        <v>5194277</v>
      </c>
      <c r="D10" s="1710">
        <f t="shared" ref="D10:K10" si="1">SUM(D8:D9)</f>
        <v>1000000</v>
      </c>
      <c r="E10" s="1710">
        <f t="shared" si="1"/>
        <v>0</v>
      </c>
      <c r="F10" s="1710">
        <f t="shared" si="1"/>
        <v>0</v>
      </c>
      <c r="G10" s="1710">
        <f t="shared" si="1"/>
        <v>1000000</v>
      </c>
      <c r="H10" s="1710">
        <f t="shared" si="1"/>
        <v>0</v>
      </c>
      <c r="I10" s="1710">
        <f t="shared" si="1"/>
        <v>0</v>
      </c>
      <c r="J10" s="1710">
        <f t="shared" si="1"/>
        <v>0</v>
      </c>
      <c r="K10" s="1710">
        <f t="shared" si="1"/>
        <v>0</v>
      </c>
      <c r="L10" s="518"/>
    </row>
    <row r="11" spans="1:13" s="519" customFormat="1" ht="16.7" customHeight="1" thickTop="1" x14ac:dyDescent="0.2">
      <c r="A11" s="2125" t="s">
        <v>1238</v>
      </c>
      <c r="B11" s="2126"/>
      <c r="C11" s="1592"/>
      <c r="D11" s="1593"/>
      <c r="E11" s="1593"/>
      <c r="F11" s="1593"/>
      <c r="G11" s="1593"/>
      <c r="H11" s="1593"/>
      <c r="I11" s="1593"/>
      <c r="J11" s="1593"/>
      <c r="K11" s="1594"/>
      <c r="L11" s="518"/>
    </row>
    <row r="12" spans="1:13" ht="15.75" customHeight="1" x14ac:dyDescent="0.2">
      <c r="A12" s="1598" t="s">
        <v>476</v>
      </c>
      <c r="B12" s="1600">
        <v>1000</v>
      </c>
      <c r="C12" s="1764">
        <f>'Expenditures 15-22'!K33</f>
        <v>4810664</v>
      </c>
      <c r="D12" s="520" t="s">
        <v>1231</v>
      </c>
      <c r="E12" s="468" t="s">
        <v>1231</v>
      </c>
      <c r="F12" s="468" t="s">
        <v>1231</v>
      </c>
      <c r="G12" s="1764">
        <f>'Expenditures 15-22'!K229</f>
        <v>127085</v>
      </c>
      <c r="H12" s="521"/>
      <c r="I12" s="468" t="s">
        <v>1231</v>
      </c>
      <c r="J12" s="468" t="s">
        <v>1231</v>
      </c>
      <c r="K12" s="521" t="s">
        <v>1231</v>
      </c>
      <c r="L12" s="347"/>
    </row>
    <row r="13" spans="1:13" ht="15.75" customHeight="1" x14ac:dyDescent="0.2">
      <c r="A13" s="1598" t="s">
        <v>477</v>
      </c>
      <c r="B13" s="1600">
        <v>2000</v>
      </c>
      <c r="C13" s="1765">
        <f>'Expenditures 15-22'!K74</f>
        <v>1934220</v>
      </c>
      <c r="D13" s="1765">
        <f>'Expenditures 15-22'!K129</f>
        <v>307625</v>
      </c>
      <c r="E13" s="469" t="s">
        <v>1231</v>
      </c>
      <c r="F13" s="1765">
        <f>'Expenditures 15-22'!K184</f>
        <v>0</v>
      </c>
      <c r="G13" s="1765">
        <f>'Expenditures 15-22'!K279</f>
        <v>13277</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1406</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6746290</v>
      </c>
      <c r="D17" s="1710">
        <f t="shared" si="2"/>
        <v>307625</v>
      </c>
      <c r="E17" s="1710">
        <f t="shared" si="2"/>
        <v>0</v>
      </c>
      <c r="F17" s="1710">
        <f t="shared" si="2"/>
        <v>0</v>
      </c>
      <c r="G17" s="1710">
        <f t="shared" si="2"/>
        <v>140362</v>
      </c>
      <c r="H17" s="1710">
        <f t="shared" si="2"/>
        <v>0</v>
      </c>
      <c r="I17" s="468"/>
      <c r="J17" s="1710">
        <f>SUM(J12:J16)</f>
        <v>0</v>
      </c>
      <c r="K17" s="1710">
        <f>SUM(K12:K16)</f>
        <v>0</v>
      </c>
      <c r="L17" s="347"/>
    </row>
    <row r="18" spans="1:12" ht="15" customHeight="1" thickTop="1" x14ac:dyDescent="0.2">
      <c r="A18" s="1766" t="s">
        <v>1753</v>
      </c>
      <c r="B18" s="1767">
        <v>4180</v>
      </c>
      <c r="C18" s="1764">
        <f t="shared" ref="C18:H18" si="3">C9</f>
        <v>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6746290</v>
      </c>
      <c r="D19" s="1710">
        <f t="shared" si="4"/>
        <v>307625</v>
      </c>
      <c r="E19" s="1710">
        <f t="shared" si="4"/>
        <v>0</v>
      </c>
      <c r="F19" s="1710">
        <f t="shared" si="4"/>
        <v>0</v>
      </c>
      <c r="G19" s="1710">
        <f t="shared" si="4"/>
        <v>140362</v>
      </c>
      <c r="H19" s="1710">
        <f t="shared" si="4"/>
        <v>0</v>
      </c>
      <c r="I19" s="468"/>
      <c r="J19" s="1710">
        <f>SUM(J17:J18)</f>
        <v>0</v>
      </c>
      <c r="K19" s="1710">
        <f>SUM(K17:K18)</f>
        <v>0</v>
      </c>
      <c r="L19" s="347"/>
    </row>
    <row r="20" spans="1:12" ht="16.5" thickTop="1" thickBot="1" x14ac:dyDescent="0.25">
      <c r="A20" s="2141" t="s">
        <v>1754</v>
      </c>
      <c r="B20" s="2142"/>
      <c r="C20" s="1768">
        <f>C8-C17</f>
        <v>-1552013</v>
      </c>
      <c r="D20" s="1768">
        <f t="shared" ref="D20:K20" si="5">D8-D17</f>
        <v>692375</v>
      </c>
      <c r="E20" s="1768">
        <f t="shared" si="5"/>
        <v>0</v>
      </c>
      <c r="F20" s="1768">
        <f t="shared" si="5"/>
        <v>0</v>
      </c>
      <c r="G20" s="1768">
        <f t="shared" si="5"/>
        <v>859638</v>
      </c>
      <c r="H20" s="1768">
        <f t="shared" si="5"/>
        <v>0</v>
      </c>
      <c r="I20" s="1768">
        <f t="shared" si="5"/>
        <v>0</v>
      </c>
      <c r="J20" s="1768">
        <f t="shared" si="5"/>
        <v>0</v>
      </c>
      <c r="K20" s="1768">
        <f t="shared" si="5"/>
        <v>0</v>
      </c>
      <c r="L20" s="347"/>
    </row>
    <row r="21" spans="1:12" ht="16.7" customHeight="1" thickTop="1" x14ac:dyDescent="0.2">
      <c r="A21" s="2153" t="s">
        <v>616</v>
      </c>
      <c r="B21" s="2154"/>
      <c r="C21" s="1592"/>
      <c r="D21" s="1593"/>
      <c r="E21" s="1593"/>
      <c r="F21" s="1593"/>
      <c r="G21" s="1593"/>
      <c r="H21" s="1593"/>
      <c r="I21" s="1593"/>
      <c r="J21" s="1593"/>
      <c r="K21" s="1594"/>
      <c r="L21" s="524"/>
    </row>
    <row r="22" spans="1:12" ht="15.75" customHeight="1" collapsed="1" x14ac:dyDescent="0.2">
      <c r="A22" s="2149" t="s">
        <v>617</v>
      </c>
      <c r="B22" s="2150"/>
      <c r="C22" s="477"/>
      <c r="D22" s="477"/>
      <c r="E22" s="477"/>
      <c r="F22" s="477"/>
      <c r="G22" s="477"/>
      <c r="H22" s="477"/>
      <c r="I22" s="477"/>
      <c r="J22" s="477"/>
      <c r="K22" s="477"/>
      <c r="L22" s="347"/>
    </row>
    <row r="23" spans="1:12" s="485" customFormat="1" ht="15.75" customHeight="1" x14ac:dyDescent="0.2">
      <c r="A23" s="2145" t="s">
        <v>311</v>
      </c>
      <c r="B23" s="2146"/>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7" t="s">
        <v>1038</v>
      </c>
      <c r="B32" s="2148"/>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5" t="s">
        <v>392</v>
      </c>
      <c r="B44" s="2156"/>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49" t="s">
        <v>110</v>
      </c>
      <c r="B45" s="2150"/>
      <c r="C45" s="528"/>
      <c r="D45" s="528"/>
      <c r="E45" s="528"/>
      <c r="F45" s="528"/>
      <c r="G45" s="528"/>
      <c r="H45" s="528"/>
      <c r="I45" s="528"/>
      <c r="J45" s="528"/>
      <c r="K45" s="528"/>
      <c r="L45" s="347"/>
    </row>
    <row r="46" spans="1:12" s="485" customFormat="1" ht="15.75" customHeight="1" x14ac:dyDescent="0.2">
      <c r="A46" s="2157" t="s">
        <v>111</v>
      </c>
      <c r="B46" s="2158"/>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1" t="s">
        <v>460</v>
      </c>
      <c r="B76" s="2132"/>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3" t="s">
        <v>1239</v>
      </c>
      <c r="B77" s="2134"/>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7" t="s">
        <v>618</v>
      </c>
      <c r="B78" s="2138"/>
      <c r="C78" s="1724">
        <f t="shared" ref="C78:K78" si="9">C20+C77</f>
        <v>-1552013</v>
      </c>
      <c r="D78" s="1724">
        <f t="shared" si="9"/>
        <v>692375</v>
      </c>
      <c r="E78" s="1724">
        <f t="shared" si="9"/>
        <v>0</v>
      </c>
      <c r="F78" s="1724">
        <f t="shared" si="9"/>
        <v>0</v>
      </c>
      <c r="G78" s="1724">
        <f t="shared" si="9"/>
        <v>859638</v>
      </c>
      <c r="H78" s="1724">
        <f t="shared" si="9"/>
        <v>0</v>
      </c>
      <c r="I78" s="1724">
        <f t="shared" si="9"/>
        <v>0</v>
      </c>
      <c r="J78" s="1724">
        <f t="shared" si="9"/>
        <v>0</v>
      </c>
      <c r="K78" s="1724">
        <f t="shared" si="9"/>
        <v>0</v>
      </c>
      <c r="L78" s="533"/>
    </row>
    <row r="79" spans="1:12" ht="13.5" thickTop="1" x14ac:dyDescent="0.2">
      <c r="A79" s="1516" t="s">
        <v>2073</v>
      </c>
      <c r="B79" s="534"/>
      <c r="C79" s="478">
        <v>3172165</v>
      </c>
      <c r="D79" s="535">
        <v>-2606208</v>
      </c>
      <c r="E79" s="535"/>
      <c r="F79" s="535"/>
      <c r="G79" s="535">
        <v>-532097</v>
      </c>
      <c r="H79" s="535"/>
      <c r="I79" s="535"/>
      <c r="J79" s="535"/>
      <c r="K79" s="535"/>
      <c r="L79" s="347"/>
    </row>
    <row r="80" spans="1:12" x14ac:dyDescent="0.2">
      <c r="A80" s="2143" t="s">
        <v>1898</v>
      </c>
      <c r="B80" s="2144"/>
      <c r="C80" s="467"/>
      <c r="D80" s="467"/>
      <c r="E80" s="467"/>
      <c r="F80" s="467"/>
      <c r="G80" s="467"/>
      <c r="H80" s="467"/>
      <c r="I80" s="467"/>
      <c r="J80" s="467"/>
      <c r="K80" s="467"/>
      <c r="L80" s="347"/>
    </row>
    <row r="81" spans="1:12" ht="13.5" thickBot="1" x14ac:dyDescent="0.25">
      <c r="A81" s="2135" t="s">
        <v>2074</v>
      </c>
      <c r="B81" s="2136"/>
      <c r="C81" s="1710">
        <f>(SUM(C78:C80))</f>
        <v>1620152</v>
      </c>
      <c r="D81" s="1710">
        <f>SUM(D78:D80)</f>
        <v>-1913833</v>
      </c>
      <c r="E81" s="1710">
        <f t="shared" ref="E81:K81" si="10">SUM(E78:E80)</f>
        <v>0</v>
      </c>
      <c r="F81" s="1710">
        <f t="shared" si="10"/>
        <v>0</v>
      </c>
      <c r="G81" s="1710">
        <f t="shared" si="10"/>
        <v>327541</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-1552013</v>
      </c>
      <c r="D82" s="538">
        <f t="shared" ref="D82:K82" si="11">(D81-D79)</f>
        <v>692375</v>
      </c>
      <c r="E82" s="538">
        <f t="shared" si="11"/>
        <v>0</v>
      </c>
      <c r="F82" s="538">
        <f t="shared" si="11"/>
        <v>0</v>
      </c>
      <c r="G82" s="538">
        <f t="shared" si="11"/>
        <v>859638</v>
      </c>
      <c r="H82" s="538">
        <f t="shared" si="11"/>
        <v>0</v>
      </c>
      <c r="I82" s="538">
        <f t="shared" si="11"/>
        <v>0</v>
      </c>
      <c r="J82" s="538">
        <f t="shared" si="11"/>
        <v>0</v>
      </c>
      <c r="K82" s="538">
        <f t="shared" si="11"/>
        <v>0</v>
      </c>
    </row>
    <row r="83" spans="1:12" ht="14.25" hidden="1" thickTop="1" thickBot="1" x14ac:dyDescent="0.25">
      <c r="A83" s="539" t="s">
        <v>362</v>
      </c>
      <c r="B83" s="464"/>
      <c r="C83" s="540">
        <f>C82/C81</f>
        <v>-0.95794283499325994</v>
      </c>
      <c r="D83" s="540">
        <f t="shared" ref="D83:K83" si="12">D82/D81</f>
        <v>-0.36177398968457541</v>
      </c>
      <c r="E83" s="540" t="e">
        <f t="shared" si="12"/>
        <v>#DIV/0!</v>
      </c>
      <c r="F83" s="540" t="e">
        <f t="shared" si="12"/>
        <v>#DIV/0!</v>
      </c>
      <c r="G83" s="540">
        <f t="shared" si="12"/>
        <v>2.6245202890630486</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90" activePane="bottomLeft" state="frozen"/>
      <selection activeCell="A47" sqref="A47"/>
      <selection pane="bottomLeft" activeCell="C21" sqref="C2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9" t="s">
        <v>1905</v>
      </c>
      <c r="B1" s="452"/>
      <c r="C1" s="453" t="s">
        <v>445</v>
      </c>
      <c r="D1" s="453" t="s">
        <v>446</v>
      </c>
      <c r="E1" s="453" t="s">
        <v>447</v>
      </c>
      <c r="F1" s="453" t="s">
        <v>448</v>
      </c>
      <c r="G1" s="453" t="s">
        <v>449</v>
      </c>
      <c r="H1" s="453" t="s">
        <v>450</v>
      </c>
      <c r="I1" s="453" t="s">
        <v>451</v>
      </c>
      <c r="J1" s="453" t="s">
        <v>452</v>
      </c>
      <c r="K1" s="453" t="s">
        <v>780</v>
      </c>
    </row>
    <row r="2" spans="1:12" ht="36" x14ac:dyDescent="0.2">
      <c r="A2" s="214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v>4910222</v>
      </c>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4910222</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0</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948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948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v>1000000</v>
      </c>
      <c r="E104" s="481"/>
      <c r="F104" s="467"/>
      <c r="G104" s="467">
        <v>1000000</v>
      </c>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30" t="s">
        <v>508</v>
      </c>
      <c r="B108" s="1734"/>
      <c r="C108" s="1729">
        <f>SUM(C95:C107)</f>
        <v>0</v>
      </c>
      <c r="D108" s="1729">
        <f t="shared" ref="D108:K108" si="3">SUM(D95:D107)</f>
        <v>1000000</v>
      </c>
      <c r="E108" s="1729">
        <f t="shared" si="3"/>
        <v>0</v>
      </c>
      <c r="F108" s="1729">
        <f t="shared" si="3"/>
        <v>0</v>
      </c>
      <c r="G108" s="1729">
        <f t="shared" si="3"/>
        <v>1000000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4911170</v>
      </c>
      <c r="D109" s="1737">
        <f t="shared" si="4"/>
        <v>1000000</v>
      </c>
      <c r="E109" s="1737">
        <f t="shared" si="4"/>
        <v>0</v>
      </c>
      <c r="F109" s="1737">
        <f t="shared" si="4"/>
        <v>0</v>
      </c>
      <c r="G109" s="1737">
        <f t="shared" si="4"/>
        <v>1000000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133061</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133061</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59" t="s">
        <v>418</v>
      </c>
      <c r="B172" s="2160"/>
      <c r="C172" s="1744">
        <f t="shared" ref="C172:K172" si="6">SUM(C131,C140,C144,C145:C149,C154,C155:C170,C171)</f>
        <v>133061</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133061</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1" t="s">
        <v>1572</v>
      </c>
      <c r="B175" s="2162"/>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5" t="s">
        <v>1764</v>
      </c>
      <c r="B178" s="2166"/>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69" t="s">
        <v>1763</v>
      </c>
      <c r="B179" s="2170"/>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7" t="s">
        <v>818</v>
      </c>
      <c r="B184" s="2168"/>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3" t="s">
        <v>1906</v>
      </c>
      <c r="B185" s="2164"/>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54941</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54941</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95105</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150046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150046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5194277</v>
      </c>
      <c r="D275" s="1737">
        <f t="shared" si="12"/>
        <v>1000000</v>
      </c>
      <c r="E275" s="1737">
        <f t="shared" si="12"/>
        <v>0</v>
      </c>
      <c r="F275" s="1737">
        <f t="shared" si="12"/>
        <v>0</v>
      </c>
      <c r="G275" s="1737">
        <f t="shared" si="12"/>
        <v>1000000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87" activePane="bottomLeft" state="frozen"/>
      <selection activeCell="A47" sqref="A47"/>
      <selection pane="bottomLeft" activeCell="L267" sqref="L26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9"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3456670</v>
      </c>
      <c r="D8" s="466">
        <v>1036997</v>
      </c>
      <c r="E8" s="466">
        <v>45279</v>
      </c>
      <c r="F8" s="466">
        <v>137125</v>
      </c>
      <c r="G8" s="466"/>
      <c r="H8" s="466"/>
      <c r="I8" s="467"/>
      <c r="J8" s="467"/>
      <c r="K8" s="1693">
        <f t="shared" si="0"/>
        <v>4676071</v>
      </c>
      <c r="L8" s="466">
        <v>4652997</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22441</v>
      </c>
      <c r="D13" s="466">
        <v>13614</v>
      </c>
      <c r="E13" s="466"/>
      <c r="F13" s="466"/>
      <c r="G13" s="466"/>
      <c r="H13" s="466"/>
      <c r="I13" s="467"/>
      <c r="J13" s="467"/>
      <c r="K13" s="1693">
        <f t="shared" si="0"/>
        <v>36055</v>
      </c>
      <c r="L13" s="466">
        <v>38600</v>
      </c>
    </row>
    <row r="14" spans="1:14" x14ac:dyDescent="0.2">
      <c r="A14" s="1526" t="s">
        <v>1020</v>
      </c>
      <c r="B14" s="615">
        <v>1500</v>
      </c>
      <c r="C14" s="466">
        <v>27033</v>
      </c>
      <c r="D14" s="466">
        <v>3397</v>
      </c>
      <c r="E14" s="466"/>
      <c r="F14" s="466"/>
      <c r="G14" s="466"/>
      <c r="H14" s="466"/>
      <c r="I14" s="467"/>
      <c r="J14" s="467"/>
      <c r="K14" s="1693">
        <f t="shared" si="0"/>
        <v>30430</v>
      </c>
      <c r="L14" s="466">
        <v>30280</v>
      </c>
    </row>
    <row r="15" spans="1:14" x14ac:dyDescent="0.2">
      <c r="A15" s="1526" t="s">
        <v>1021</v>
      </c>
      <c r="B15" s="615">
        <v>1600</v>
      </c>
      <c r="C15" s="466">
        <v>68108</v>
      </c>
      <c r="D15" s="466"/>
      <c r="E15" s="466"/>
      <c r="F15" s="466"/>
      <c r="G15" s="466"/>
      <c r="H15" s="466"/>
      <c r="I15" s="467"/>
      <c r="J15" s="467"/>
      <c r="K15" s="1693">
        <f t="shared" si="0"/>
        <v>68108</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3574252</v>
      </c>
      <c r="D33" s="1692">
        <f t="shared" ref="D33:L33" si="1">SUM(D5:D32)</f>
        <v>1054008</v>
      </c>
      <c r="E33" s="1692">
        <f t="shared" si="1"/>
        <v>45279</v>
      </c>
      <c r="F33" s="1692">
        <f t="shared" si="1"/>
        <v>137125</v>
      </c>
      <c r="G33" s="1692">
        <f t="shared" si="1"/>
        <v>0</v>
      </c>
      <c r="H33" s="1692">
        <f t="shared" si="1"/>
        <v>0</v>
      </c>
      <c r="I33" s="1692">
        <f t="shared" si="1"/>
        <v>0</v>
      </c>
      <c r="J33" s="1692">
        <f t="shared" si="1"/>
        <v>0</v>
      </c>
      <c r="K33" s="1692">
        <f t="shared" si="1"/>
        <v>4810664</v>
      </c>
      <c r="L33" s="1692">
        <f t="shared" si="1"/>
        <v>4721877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169588</v>
      </c>
      <c r="D36" s="481">
        <v>43735</v>
      </c>
      <c r="E36" s="481"/>
      <c r="F36" s="481"/>
      <c r="G36" s="481"/>
      <c r="H36" s="481"/>
      <c r="I36" s="467"/>
      <c r="J36" s="467"/>
      <c r="K36" s="1693">
        <f t="shared" ref="K36:K41" si="2">SUM(C36:J36)</f>
        <v>213323</v>
      </c>
      <c r="L36" s="466">
        <v>213975</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104489</v>
      </c>
      <c r="D38" s="466">
        <v>22749</v>
      </c>
      <c r="E38" s="481">
        <v>46547</v>
      </c>
      <c r="F38" s="466"/>
      <c r="G38" s="466"/>
      <c r="H38" s="466"/>
      <c r="I38" s="467"/>
      <c r="J38" s="467"/>
      <c r="K38" s="1693">
        <f t="shared" si="2"/>
        <v>173785</v>
      </c>
      <c r="L38" s="466">
        <v>136000</v>
      </c>
    </row>
    <row r="39" spans="1:14" x14ac:dyDescent="0.2">
      <c r="A39" s="1526" t="s">
        <v>208</v>
      </c>
      <c r="B39" s="615">
        <v>2140</v>
      </c>
      <c r="C39" s="466">
        <v>144028</v>
      </c>
      <c r="D39" s="466">
        <v>40641</v>
      </c>
      <c r="E39" s="466"/>
      <c r="F39" s="466"/>
      <c r="G39" s="466"/>
      <c r="H39" s="466"/>
      <c r="I39" s="467"/>
      <c r="J39" s="467"/>
      <c r="K39" s="1693">
        <f t="shared" si="2"/>
        <v>184669</v>
      </c>
      <c r="L39" s="466">
        <v>183600</v>
      </c>
    </row>
    <row r="40" spans="1:14" x14ac:dyDescent="0.2">
      <c r="A40" s="1526" t="s">
        <v>209</v>
      </c>
      <c r="B40" s="615">
        <v>2150</v>
      </c>
      <c r="C40" s="466">
        <v>393195</v>
      </c>
      <c r="D40" s="466">
        <v>94466</v>
      </c>
      <c r="E40" s="466"/>
      <c r="F40" s="466"/>
      <c r="G40" s="466"/>
      <c r="H40" s="466"/>
      <c r="I40" s="467"/>
      <c r="J40" s="467"/>
      <c r="K40" s="1693">
        <f t="shared" si="2"/>
        <v>487661</v>
      </c>
      <c r="L40" s="466">
        <v>486100</v>
      </c>
    </row>
    <row r="41" spans="1:14" x14ac:dyDescent="0.2">
      <c r="A41" s="1526" t="s">
        <v>1768</v>
      </c>
      <c r="B41" s="615">
        <v>2190</v>
      </c>
      <c r="C41" s="466"/>
      <c r="D41" s="466"/>
      <c r="E41" s="466">
        <v>822834</v>
      </c>
      <c r="F41" s="466"/>
      <c r="G41" s="466"/>
      <c r="H41" s="466"/>
      <c r="I41" s="467"/>
      <c r="J41" s="467"/>
      <c r="K41" s="1693">
        <f t="shared" si="2"/>
        <v>822834</v>
      </c>
      <c r="L41" s="466">
        <v>826000</v>
      </c>
    </row>
    <row r="42" spans="1:14" ht="12.75" customHeight="1" thickBot="1" x14ac:dyDescent="0.25">
      <c r="A42" s="1690" t="s">
        <v>581</v>
      </c>
      <c r="B42" s="1691" t="s">
        <v>740</v>
      </c>
      <c r="C42" s="1692">
        <f>SUM(C36:C41)</f>
        <v>811300</v>
      </c>
      <c r="D42" s="1692">
        <f t="shared" ref="D42:L42" si="3">SUM(D36:D41)</f>
        <v>201591</v>
      </c>
      <c r="E42" s="1692">
        <f t="shared" si="3"/>
        <v>869381</v>
      </c>
      <c r="F42" s="1692">
        <f t="shared" si="3"/>
        <v>0</v>
      </c>
      <c r="G42" s="1692">
        <f t="shared" si="3"/>
        <v>0</v>
      </c>
      <c r="H42" s="1692">
        <f t="shared" si="3"/>
        <v>0</v>
      </c>
      <c r="I42" s="1692">
        <f t="shared" si="3"/>
        <v>0</v>
      </c>
      <c r="J42" s="1692">
        <f t="shared" si="3"/>
        <v>0</v>
      </c>
      <c r="K42" s="1692">
        <f t="shared" si="3"/>
        <v>1882272</v>
      </c>
      <c r="L42" s="1692">
        <f t="shared" si="3"/>
        <v>1845675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f>455+16</f>
        <v>471</v>
      </c>
      <c r="F44" s="481">
        <v>2250</v>
      </c>
      <c r="G44" s="481"/>
      <c r="H44" s="481"/>
      <c r="I44" s="467"/>
      <c r="J44" s="467"/>
      <c r="K44" s="1694">
        <f>SUM(C44:J44)</f>
        <v>2721</v>
      </c>
      <c r="L44" s="481">
        <v>20300</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v>238</v>
      </c>
      <c r="G46" s="466"/>
      <c r="H46" s="466"/>
      <c r="I46" s="467"/>
      <c r="J46" s="467"/>
      <c r="K46" s="1694">
        <f>SUM(C46:J46)</f>
        <v>238</v>
      </c>
      <c r="L46" s="466">
        <v>1500</v>
      </c>
    </row>
    <row r="47" spans="1:14" ht="12.75" customHeight="1" thickBot="1" x14ac:dyDescent="0.25">
      <c r="A47" s="1690" t="s">
        <v>582</v>
      </c>
      <c r="B47" s="1691" t="s">
        <v>32</v>
      </c>
      <c r="C47" s="1692">
        <f>SUM(C44:C46)</f>
        <v>0</v>
      </c>
      <c r="D47" s="1692">
        <f t="shared" ref="D47:K47" si="4">SUM(D44:D46)</f>
        <v>0</v>
      </c>
      <c r="E47" s="1692">
        <f t="shared" si="4"/>
        <v>471</v>
      </c>
      <c r="F47" s="1692">
        <f t="shared" si="4"/>
        <v>2488</v>
      </c>
      <c r="G47" s="1692">
        <f t="shared" si="4"/>
        <v>0</v>
      </c>
      <c r="H47" s="1692">
        <f t="shared" si="4"/>
        <v>0</v>
      </c>
      <c r="I47" s="1692">
        <f t="shared" si="4"/>
        <v>0</v>
      </c>
      <c r="J47" s="1692">
        <f t="shared" si="4"/>
        <v>0</v>
      </c>
      <c r="K47" s="1692">
        <f t="shared" si="4"/>
        <v>2959</v>
      </c>
      <c r="L47" s="1692">
        <f>SUM(L44:L46)</f>
        <v>21800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4">
        <f>SUM(C49:J49)</f>
        <v>0</v>
      </c>
      <c r="L49" s="481"/>
    </row>
    <row r="50" spans="1:14" x14ac:dyDescent="0.2">
      <c r="A50" s="1526" t="s">
        <v>872</v>
      </c>
      <c r="B50" s="615">
        <v>2320</v>
      </c>
      <c r="C50" s="466"/>
      <c r="D50" s="466"/>
      <c r="E50" s="466"/>
      <c r="F50" s="466"/>
      <c r="G50" s="466"/>
      <c r="H50" s="466"/>
      <c r="I50" s="467"/>
      <c r="J50" s="467"/>
      <c r="K50" s="1694">
        <f>SUM(C50:J50)</f>
        <v>0</v>
      </c>
      <c r="L50" s="466"/>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v>7603</v>
      </c>
      <c r="F52" s="474"/>
      <c r="G52" s="474"/>
      <c r="H52" s="474"/>
      <c r="I52" s="474"/>
      <c r="J52" s="474"/>
      <c r="K52" s="1694">
        <f>SUM(C52:J52)</f>
        <v>7603</v>
      </c>
      <c r="L52" s="474">
        <v>40000</v>
      </c>
    </row>
    <row r="53" spans="1:14" ht="12.75" customHeight="1" thickBot="1" x14ac:dyDescent="0.25">
      <c r="A53" s="1690" t="s">
        <v>741</v>
      </c>
      <c r="B53" s="1691" t="s">
        <v>33</v>
      </c>
      <c r="C53" s="1692">
        <f>SUM(C49:C52)</f>
        <v>0</v>
      </c>
      <c r="D53" s="1692">
        <f t="shared" ref="D53:L53" si="5">SUM(D49:D52)</f>
        <v>0</v>
      </c>
      <c r="E53" s="1692">
        <f t="shared" si="5"/>
        <v>7603</v>
      </c>
      <c r="F53" s="1692">
        <f t="shared" si="5"/>
        <v>0</v>
      </c>
      <c r="G53" s="1692">
        <f t="shared" si="5"/>
        <v>0</v>
      </c>
      <c r="H53" s="1692">
        <f t="shared" si="5"/>
        <v>0</v>
      </c>
      <c r="I53" s="1692">
        <f t="shared" si="5"/>
        <v>0</v>
      </c>
      <c r="J53" s="1692">
        <f t="shared" si="5"/>
        <v>0</v>
      </c>
      <c r="K53" s="1692">
        <f t="shared" si="5"/>
        <v>7603</v>
      </c>
      <c r="L53" s="1692">
        <f t="shared" si="5"/>
        <v>40000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v>845</v>
      </c>
      <c r="F55" s="481">
        <v>745</v>
      </c>
      <c r="G55" s="481"/>
      <c r="H55" s="481"/>
      <c r="I55" s="467"/>
      <c r="J55" s="467"/>
      <c r="K55" s="1694">
        <f>SUM(C55:J55)</f>
        <v>1590</v>
      </c>
      <c r="L55" s="481">
        <v>10000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845</v>
      </c>
      <c r="F57" s="1696">
        <f t="shared" si="6"/>
        <v>745</v>
      </c>
      <c r="G57" s="1696">
        <f t="shared" si="6"/>
        <v>0</v>
      </c>
      <c r="H57" s="1696">
        <f t="shared" si="6"/>
        <v>0</v>
      </c>
      <c r="I57" s="1696">
        <f t="shared" si="6"/>
        <v>0</v>
      </c>
      <c r="J57" s="1696">
        <f t="shared" si="6"/>
        <v>0</v>
      </c>
      <c r="K57" s="1696">
        <f t="shared" si="6"/>
        <v>1590</v>
      </c>
      <c r="L57" s="1692">
        <f>SUM(L55:L56)</f>
        <v>10000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v>20600</v>
      </c>
      <c r="F60" s="466"/>
      <c r="G60" s="466"/>
      <c r="H60" s="466"/>
      <c r="I60" s="467"/>
      <c r="J60" s="467"/>
      <c r="K60" s="1694">
        <f t="shared" si="7"/>
        <v>20600</v>
      </c>
      <c r="L60" s="466">
        <v>30000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v>1601</v>
      </c>
      <c r="G63" s="466"/>
      <c r="H63" s="466"/>
      <c r="I63" s="467"/>
      <c r="J63" s="467"/>
      <c r="K63" s="1694">
        <f t="shared" si="7"/>
        <v>1601</v>
      </c>
      <c r="L63" s="466">
        <v>11750</v>
      </c>
    </row>
    <row r="64" spans="1:14" s="610" customFormat="1" x14ac:dyDescent="0.2">
      <c r="A64" s="1531" t="s">
        <v>103</v>
      </c>
      <c r="B64" s="631">
        <v>2570</v>
      </c>
      <c r="C64" s="481"/>
      <c r="D64" s="481"/>
      <c r="E64" s="481"/>
      <c r="F64" s="481"/>
      <c r="G64" s="481">
        <v>1211</v>
      </c>
      <c r="H64" s="481"/>
      <c r="I64" s="467"/>
      <c r="J64" s="467"/>
      <c r="K64" s="1694">
        <f t="shared" si="7"/>
        <v>1211</v>
      </c>
      <c r="L64" s="481"/>
    </row>
    <row r="65" spans="1:14" s="343" customFormat="1" ht="12.75" customHeight="1" thickBot="1" x14ac:dyDescent="0.25">
      <c r="A65" s="1690" t="s">
        <v>743</v>
      </c>
      <c r="B65" s="1691" t="s">
        <v>35</v>
      </c>
      <c r="C65" s="1692">
        <f>SUM(C59:C64)</f>
        <v>0</v>
      </c>
      <c r="D65" s="1692">
        <f t="shared" ref="D65:L65" si="8">SUM(D59:D64)</f>
        <v>0</v>
      </c>
      <c r="E65" s="1692">
        <f t="shared" si="8"/>
        <v>20600</v>
      </c>
      <c r="F65" s="1692">
        <f t="shared" si="8"/>
        <v>1601</v>
      </c>
      <c r="G65" s="1692">
        <f t="shared" si="8"/>
        <v>1211</v>
      </c>
      <c r="H65" s="1692">
        <f t="shared" si="8"/>
        <v>0</v>
      </c>
      <c r="I65" s="1692">
        <f t="shared" si="8"/>
        <v>0</v>
      </c>
      <c r="J65" s="1692">
        <f t="shared" si="8"/>
        <v>0</v>
      </c>
      <c r="K65" s="1692">
        <f t="shared" si="8"/>
        <v>23412</v>
      </c>
      <c r="L65" s="1692">
        <f t="shared" si="8"/>
        <v>41750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v>3325</v>
      </c>
      <c r="E70" s="466"/>
      <c r="F70" s="466"/>
      <c r="G70" s="466"/>
      <c r="H70" s="466"/>
      <c r="I70" s="467"/>
      <c r="J70" s="467"/>
      <c r="K70" s="1694">
        <f>SUM(C70:J70)</f>
        <v>3325</v>
      </c>
      <c r="L70" s="466">
        <v>5000</v>
      </c>
      <c r="M70" s="610"/>
      <c r="N70" s="610"/>
    </row>
    <row r="71" spans="1:14" s="343" customFormat="1" x14ac:dyDescent="0.2">
      <c r="A71" s="1526" t="s">
        <v>424</v>
      </c>
      <c r="B71" s="615">
        <v>2660</v>
      </c>
      <c r="C71" s="466"/>
      <c r="D71" s="466"/>
      <c r="E71" s="466"/>
      <c r="F71" s="466">
        <v>13059</v>
      </c>
      <c r="G71" s="466"/>
      <c r="H71" s="466"/>
      <c r="I71" s="467"/>
      <c r="J71" s="467"/>
      <c r="K71" s="1694">
        <f>SUM(C71:J71)</f>
        <v>13059</v>
      </c>
      <c r="L71" s="466">
        <v>74000</v>
      </c>
      <c r="M71" s="610"/>
      <c r="N71" s="610"/>
    </row>
    <row r="72" spans="1:14" s="343" customFormat="1" ht="12.75" customHeight="1" thickBot="1" x14ac:dyDescent="0.25">
      <c r="A72" s="1690" t="s">
        <v>37</v>
      </c>
      <c r="B72" s="1697" t="s">
        <v>36</v>
      </c>
      <c r="C72" s="1692">
        <f>SUM(C67:C71)</f>
        <v>0</v>
      </c>
      <c r="D72" s="1692">
        <f t="shared" ref="D72:K72" si="9">SUM(D67:D71)</f>
        <v>3325</v>
      </c>
      <c r="E72" s="1692">
        <f t="shared" si="9"/>
        <v>0</v>
      </c>
      <c r="F72" s="1692">
        <f t="shared" si="9"/>
        <v>13059</v>
      </c>
      <c r="G72" s="1692">
        <f t="shared" si="9"/>
        <v>0</v>
      </c>
      <c r="H72" s="1692">
        <f t="shared" si="9"/>
        <v>0</v>
      </c>
      <c r="I72" s="1692">
        <f t="shared" si="9"/>
        <v>0</v>
      </c>
      <c r="J72" s="1692">
        <f t="shared" si="9"/>
        <v>0</v>
      </c>
      <c r="K72" s="1692">
        <f t="shared" si="9"/>
        <v>16384</v>
      </c>
      <c r="L72" s="1692">
        <f>SUM(L67:L71)</f>
        <v>79000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811300</v>
      </c>
      <c r="D74" s="1699">
        <f t="shared" ref="D74:K74" si="10">SUM(D42,D47,D53,D57,D65,D72,D73)</f>
        <v>204916</v>
      </c>
      <c r="E74" s="1699">
        <f t="shared" si="10"/>
        <v>898900</v>
      </c>
      <c r="F74" s="1699">
        <f t="shared" si="10"/>
        <v>17893</v>
      </c>
      <c r="G74" s="1699">
        <f t="shared" si="10"/>
        <v>1211</v>
      </c>
      <c r="H74" s="1699">
        <f t="shared" si="10"/>
        <v>0</v>
      </c>
      <c r="I74" s="1699">
        <f t="shared" si="10"/>
        <v>0</v>
      </c>
      <c r="J74" s="1699">
        <f t="shared" si="10"/>
        <v>0</v>
      </c>
      <c r="K74" s="1699">
        <f t="shared" si="10"/>
        <v>1934220</v>
      </c>
      <c r="L74" s="1699">
        <f>SUM(L42,L47,L53,L57,L65,L72,L73)</f>
        <v>2038225</v>
      </c>
    </row>
    <row r="75" spans="1:14" s="259" customFormat="1" ht="15.75" customHeight="1" thickTop="1" thickBot="1" x14ac:dyDescent="0.25">
      <c r="A75" s="1632" t="s">
        <v>49</v>
      </c>
      <c r="B75" s="1633" t="s">
        <v>596</v>
      </c>
      <c r="C75" s="573">
        <v>1104</v>
      </c>
      <c r="D75" s="573">
        <v>302</v>
      </c>
      <c r="E75" s="573"/>
      <c r="F75" s="573"/>
      <c r="G75" s="573"/>
      <c r="H75" s="573"/>
      <c r="I75" s="531"/>
      <c r="J75" s="531"/>
      <c r="K75" s="1692">
        <f>SUM(C75:J75)</f>
        <v>1406</v>
      </c>
      <c r="L75" s="576">
        <v>2277</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v>62264</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62264</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0</v>
      </c>
      <c r="I102" s="477"/>
      <c r="J102" s="477"/>
      <c r="K102" s="1699">
        <f>SUM(K84,K92,K100,K101)</f>
        <v>0</v>
      </c>
      <c r="L102" s="1699">
        <f>SUM(L84,L92,L100,L101)</f>
        <v>62264</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4386656</v>
      </c>
      <c r="D114" s="1692">
        <f t="shared" ref="D114:K114" si="13">SUM(D33,D74,D75,D102,D112,D113)</f>
        <v>1259226</v>
      </c>
      <c r="E114" s="1692">
        <f t="shared" si="13"/>
        <v>944179</v>
      </c>
      <c r="F114" s="1692">
        <f t="shared" si="13"/>
        <v>155018</v>
      </c>
      <c r="G114" s="1692">
        <f t="shared" si="13"/>
        <v>1211</v>
      </c>
      <c r="H114" s="1692">
        <f>SUM(H33,H74,H75,H102,H112,H113)</f>
        <v>0</v>
      </c>
      <c r="I114" s="1692">
        <f t="shared" si="13"/>
        <v>0</v>
      </c>
      <c r="J114" s="1692">
        <f t="shared" si="13"/>
        <v>0</v>
      </c>
      <c r="K114" s="1692">
        <f t="shared" si="13"/>
        <v>6746290</v>
      </c>
      <c r="L114" s="1692">
        <f>SUM(L33,L74,L75,L102,L112,L113)</f>
        <v>6824643</v>
      </c>
    </row>
    <row r="115" spans="1:14" ht="13.5" thickTop="1" x14ac:dyDescent="0.2">
      <c r="A115" s="2171" t="s">
        <v>1053</v>
      </c>
      <c r="B115" s="2172"/>
      <c r="C115" s="619"/>
      <c r="D115" s="619"/>
      <c r="E115" s="619"/>
      <c r="F115" s="619"/>
      <c r="G115" s="619"/>
      <c r="H115" s="619"/>
      <c r="I115" s="619"/>
      <c r="J115" s="619"/>
      <c r="K115" s="1706">
        <f>'Revenues 9-14'!C275-'Expenditures 15-22'!K114</f>
        <v>-1552013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v>20000</v>
      </c>
    </row>
    <row r="124" spans="1:14" ht="14.25" thickTop="1" thickBot="1" x14ac:dyDescent="0.25">
      <c r="A124" s="1526" t="s">
        <v>206</v>
      </c>
      <c r="B124" s="615">
        <v>2540</v>
      </c>
      <c r="C124" s="466">
        <v>101324</v>
      </c>
      <c r="D124" s="466">
        <v>26461</v>
      </c>
      <c r="E124" s="466">
        <v>69806</v>
      </c>
      <c r="F124" s="466">
        <v>110034</v>
      </c>
      <c r="G124" s="466"/>
      <c r="H124" s="466"/>
      <c r="I124" s="467"/>
      <c r="J124" s="467"/>
      <c r="K124" s="1692">
        <f>SUM(C124:J124)</f>
        <v>307625</v>
      </c>
      <c r="L124" s="466">
        <v>316000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101324</v>
      </c>
      <c r="D127" s="1692">
        <f t="shared" ref="D127:L127" si="14">SUM(D122:D126)</f>
        <v>26461</v>
      </c>
      <c r="E127" s="1692">
        <f t="shared" si="14"/>
        <v>69806</v>
      </c>
      <c r="F127" s="1692">
        <f t="shared" si="14"/>
        <v>110034</v>
      </c>
      <c r="G127" s="1692">
        <f t="shared" si="14"/>
        <v>0</v>
      </c>
      <c r="H127" s="1692">
        <f t="shared" si="14"/>
        <v>0</v>
      </c>
      <c r="I127" s="1692">
        <f t="shared" si="14"/>
        <v>0</v>
      </c>
      <c r="J127" s="1692">
        <f t="shared" si="14"/>
        <v>0</v>
      </c>
      <c r="K127" s="1692">
        <f t="shared" si="14"/>
        <v>307625</v>
      </c>
      <c r="L127" s="1692">
        <f t="shared" si="14"/>
        <v>336000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101324</v>
      </c>
      <c r="D129" s="1699">
        <f t="shared" ref="D129:L129" si="15">SUM(D120,D127,D128)</f>
        <v>26461</v>
      </c>
      <c r="E129" s="1699">
        <f t="shared" si="15"/>
        <v>69806</v>
      </c>
      <c r="F129" s="1699">
        <f t="shared" si="15"/>
        <v>110034</v>
      </c>
      <c r="G129" s="1699">
        <f t="shared" si="15"/>
        <v>0</v>
      </c>
      <c r="H129" s="1699">
        <f t="shared" si="15"/>
        <v>0</v>
      </c>
      <c r="I129" s="1699">
        <f t="shared" si="15"/>
        <v>0</v>
      </c>
      <c r="J129" s="1699">
        <f t="shared" si="15"/>
        <v>0</v>
      </c>
      <c r="K129" s="1699">
        <f t="shared" si="15"/>
        <v>307625</v>
      </c>
      <c r="L129" s="1699">
        <f t="shared" si="15"/>
        <v>336000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8" t="s">
        <v>641</v>
      </c>
      <c r="B151" s="2168"/>
      <c r="C151" s="1692">
        <f>SUM(C129,C130,C139,C149,C150)</f>
        <v>101324</v>
      </c>
      <c r="D151" s="1692">
        <f t="shared" ref="D151:K151" si="16">SUM(D129,D130,D139,D149,D150)</f>
        <v>26461</v>
      </c>
      <c r="E151" s="1692">
        <f t="shared" si="16"/>
        <v>69806</v>
      </c>
      <c r="F151" s="1692">
        <f t="shared" si="16"/>
        <v>110034</v>
      </c>
      <c r="G151" s="1692">
        <f t="shared" si="16"/>
        <v>0</v>
      </c>
      <c r="H151" s="1692">
        <f t="shared" si="16"/>
        <v>0</v>
      </c>
      <c r="I151" s="1692">
        <f t="shared" si="16"/>
        <v>0</v>
      </c>
      <c r="J151" s="1692">
        <f t="shared" si="16"/>
        <v>0</v>
      </c>
      <c r="K151" s="1692">
        <f t="shared" si="16"/>
        <v>307625</v>
      </c>
      <c r="L151" s="1692">
        <f>SUM(L129,L130,L139,L149,L150)</f>
        <v>336000</v>
      </c>
    </row>
    <row r="152" spans="1:14" ht="12.75" customHeight="1" thickTop="1" x14ac:dyDescent="0.2">
      <c r="A152" s="2191" t="s">
        <v>1240</v>
      </c>
      <c r="B152" s="2192"/>
      <c r="C152" s="619"/>
      <c r="D152" s="619"/>
      <c r="E152" s="619"/>
      <c r="F152" s="619"/>
      <c r="G152" s="619"/>
      <c r="H152" s="619"/>
      <c r="I152" s="619"/>
      <c r="J152" s="617"/>
      <c r="K152" s="1706">
        <f>'Revenues 9-14'!D275-'Expenditures 15-22'!K151</f>
        <v>692375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1" t="s">
        <v>1053</v>
      </c>
      <c r="B175" s="2172"/>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71" t="s">
        <v>1053</v>
      </c>
      <c r="B211" s="2172"/>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124540</v>
      </c>
      <c r="E217" s="617"/>
      <c r="F217" s="617"/>
      <c r="G217" s="617"/>
      <c r="H217" s="617"/>
      <c r="I217" s="617"/>
      <c r="J217" s="617"/>
      <c r="K217" s="1693">
        <f t="shared" si="19"/>
        <v>124540</v>
      </c>
      <c r="L217" s="466">
        <v>247000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2464</v>
      </c>
      <c r="E222" s="617"/>
      <c r="F222" s="617"/>
      <c r="G222" s="617"/>
      <c r="H222" s="617"/>
      <c r="I222" s="617"/>
      <c r="J222" s="617"/>
      <c r="K222" s="1693">
        <f t="shared" si="19"/>
        <v>2464</v>
      </c>
      <c r="L222" s="466">
        <v>5000</v>
      </c>
    </row>
    <row r="223" spans="1:14" x14ac:dyDescent="0.2">
      <c r="A223" s="1526" t="s">
        <v>1020</v>
      </c>
      <c r="B223" s="615">
        <v>1500</v>
      </c>
      <c r="C223" s="617"/>
      <c r="D223" s="466">
        <v>81</v>
      </c>
      <c r="E223" s="617"/>
      <c r="F223" s="617"/>
      <c r="G223" s="617"/>
      <c r="H223" s="617"/>
      <c r="I223" s="617"/>
      <c r="J223" s="617"/>
      <c r="K223" s="1693">
        <f t="shared" si="19"/>
        <v>81</v>
      </c>
      <c r="L223" s="466">
        <v>450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127085</v>
      </c>
      <c r="E229" s="617"/>
      <c r="F229" s="617"/>
      <c r="G229" s="617"/>
      <c r="H229" s="617"/>
      <c r="I229" s="617"/>
      <c r="J229" s="617"/>
      <c r="K229" s="1692">
        <f>SUM(K215:K228)</f>
        <v>127085</v>
      </c>
      <c r="L229" s="1692">
        <f>SUM(L215:L228)</f>
        <v>252450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v>2500</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2163</v>
      </c>
      <c r="E234" s="617"/>
      <c r="F234" s="617"/>
      <c r="G234" s="617"/>
      <c r="H234" s="617"/>
      <c r="I234" s="617"/>
      <c r="J234" s="617"/>
      <c r="K234" s="1693">
        <f t="shared" si="20"/>
        <v>2163</v>
      </c>
      <c r="L234" s="466">
        <v>4900</v>
      </c>
    </row>
    <row r="235" spans="1:12" x14ac:dyDescent="0.2">
      <c r="A235" s="1526" t="s">
        <v>208</v>
      </c>
      <c r="B235" s="615">
        <v>2140</v>
      </c>
      <c r="C235" s="617"/>
      <c r="D235" s="466"/>
      <c r="E235" s="617"/>
      <c r="F235" s="617"/>
      <c r="G235" s="617"/>
      <c r="H235" s="617"/>
      <c r="I235" s="617"/>
      <c r="J235" s="617"/>
      <c r="K235" s="1693">
        <f t="shared" si="20"/>
        <v>0</v>
      </c>
      <c r="L235" s="466">
        <v>2100</v>
      </c>
    </row>
    <row r="236" spans="1:12" x14ac:dyDescent="0.2">
      <c r="A236" s="1526" t="s">
        <v>209</v>
      </c>
      <c r="B236" s="615">
        <v>2150</v>
      </c>
      <c r="C236" s="617"/>
      <c r="D236" s="466"/>
      <c r="E236" s="617"/>
      <c r="F236" s="617"/>
      <c r="G236" s="617"/>
      <c r="H236" s="617"/>
      <c r="I236" s="617"/>
      <c r="J236" s="617"/>
      <c r="K236" s="1693">
        <f t="shared" si="20"/>
        <v>0</v>
      </c>
      <c r="L236" s="466">
        <v>5600</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2163</v>
      </c>
      <c r="E238" s="617"/>
      <c r="F238" s="617"/>
      <c r="G238" s="617"/>
      <c r="H238" s="617"/>
      <c r="I238" s="617"/>
      <c r="J238" s="617"/>
      <c r="K238" s="1692">
        <f>SUM(K232:K237)</f>
        <v>2163</v>
      </c>
      <c r="L238" s="1692">
        <f>SUM(L232:L237)</f>
        <v>15100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11114</v>
      </c>
      <c r="E266" s="617"/>
      <c r="F266" s="617"/>
      <c r="G266" s="617"/>
      <c r="H266" s="617"/>
      <c r="I266" s="617"/>
      <c r="J266" s="617"/>
      <c r="K266" s="1694">
        <f t="shared" si="22"/>
        <v>11114</v>
      </c>
      <c r="L266" s="466">
        <v>20000</v>
      </c>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11114</v>
      </c>
      <c r="E270" s="617"/>
      <c r="F270" s="617"/>
      <c r="G270" s="617"/>
      <c r="H270" s="617"/>
      <c r="I270" s="617"/>
      <c r="J270" s="617"/>
      <c r="K270" s="1692">
        <f>SUM(K263:K269)</f>
        <v>11114</v>
      </c>
      <c r="L270" s="1692">
        <f>SUM(L263:L269)</f>
        <v>20000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13277</v>
      </c>
      <c r="E279" s="617"/>
      <c r="F279" s="617"/>
      <c r="G279" s="617"/>
      <c r="H279" s="617"/>
      <c r="I279" s="617"/>
      <c r="J279" s="617"/>
      <c r="K279" s="1699">
        <f>SUM(K238,K243,K257,K261,K270,K277,K278)</f>
        <v>13277</v>
      </c>
      <c r="L279" s="1699">
        <f>SUM(L238,L243,L257,L261,L270,L277,L278)</f>
        <v>35100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2">
        <f>SUM(D229,D279,D280,D285)</f>
        <v>140362</v>
      </c>
      <c r="E295" s="617"/>
      <c r="F295" s="617"/>
      <c r="G295" s="617"/>
      <c r="H295" s="1692">
        <f>H293</f>
        <v>0</v>
      </c>
      <c r="I295" s="617"/>
      <c r="J295" s="617"/>
      <c r="K295" s="1692">
        <f>SUM(K229,K279,K280,K285,K293,K294)</f>
        <v>140362</v>
      </c>
      <c r="L295" s="1692">
        <f>SUM(L229,L279,L280,L285,L293,L294)</f>
        <v>287550</v>
      </c>
    </row>
    <row r="296" spans="1:14" ht="13.5" thickTop="1" x14ac:dyDescent="0.2">
      <c r="A296" s="2171" t="s">
        <v>1053</v>
      </c>
      <c r="B296" s="2172"/>
      <c r="C296" s="617"/>
      <c r="D296" s="619"/>
      <c r="E296" s="617"/>
      <c r="F296" s="617"/>
      <c r="G296" s="617"/>
      <c r="H296" s="688"/>
      <c r="I296" s="617"/>
      <c r="J296" s="617"/>
      <c r="K296" s="1706">
        <f>'Revenues 9-14'!G275-'Expenditures 15-22'!K295</f>
        <v>859638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4" t="s">
        <v>1053</v>
      </c>
      <c r="B343" s="2185"/>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1" t="s">
        <v>1053</v>
      </c>
      <c r="B368" s="2172"/>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8" t="s">
        <v>1905</v>
      </c>
      <c r="B2" s="1550" t="s">
        <v>2037</v>
      </c>
      <c r="C2" s="715" t="s">
        <v>1910</v>
      </c>
      <c r="D2" s="715" t="s">
        <v>1911</v>
      </c>
      <c r="E2" s="715" t="s">
        <v>1912</v>
      </c>
      <c r="F2" s="715" t="s">
        <v>1913</v>
      </c>
    </row>
    <row r="3" spans="1:6" ht="12" customHeight="1" x14ac:dyDescent="0.2">
      <c r="A3" s="2199"/>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650</v>
      </c>
      <c r="B1" s="2218"/>
      <c r="C1" s="722"/>
    </row>
    <row r="2" spans="1:7" ht="33.75" x14ac:dyDescent="0.2">
      <c r="A2" s="2225" t="s">
        <v>1905</v>
      </c>
      <c r="B2" s="2226"/>
      <c r="C2" s="1909" t="s">
        <v>2038</v>
      </c>
      <c r="D2" s="724" t="s">
        <v>2045</v>
      </c>
      <c r="E2" s="724" t="s">
        <v>2046</v>
      </c>
      <c r="F2" s="1909" t="s">
        <v>2039</v>
      </c>
    </row>
    <row r="3" spans="1:7" ht="15.75" customHeight="1" x14ac:dyDescent="0.2">
      <c r="A3" s="2227" t="s">
        <v>1176</v>
      </c>
      <c r="B3" s="2228"/>
      <c r="C3" s="2221"/>
      <c r="D3" s="2222"/>
      <c r="E3" s="2222"/>
      <c r="F3" s="2223"/>
    </row>
    <row r="4" spans="1:7" ht="12.75" customHeight="1" thickBot="1" x14ac:dyDescent="0.25">
      <c r="A4" s="2215" t="s">
        <v>651</v>
      </c>
      <c r="B4" s="2216"/>
      <c r="C4" s="581"/>
      <c r="D4" s="581"/>
      <c r="E4" s="581"/>
      <c r="F4" s="1777">
        <f>SUM(C4+D4)-E4</f>
        <v>0</v>
      </c>
    </row>
    <row r="5" spans="1:7" ht="15.75" customHeight="1" thickTop="1" x14ac:dyDescent="0.2">
      <c r="A5" s="2219" t="s">
        <v>1172</v>
      </c>
      <c r="B5" s="2214"/>
      <c r="C5" s="2208"/>
      <c r="D5" s="2209"/>
      <c r="E5" s="2209"/>
      <c r="F5" s="2210"/>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1" t="s">
        <v>652</v>
      </c>
      <c r="B15" s="2212"/>
      <c r="C15" s="1777">
        <f>SUM(C6:C14)</f>
        <v>0</v>
      </c>
      <c r="D15" s="1777">
        <f>SUM(D6:D14)</f>
        <v>0</v>
      </c>
      <c r="E15" s="1777">
        <f>SUM(E6:E14)</f>
        <v>0</v>
      </c>
      <c r="F15" s="1777">
        <f>SUM(F6:F14)</f>
        <v>0</v>
      </c>
      <c r="G15" s="552"/>
    </row>
    <row r="16" spans="1:7" s="202" customFormat="1" ht="15.75" customHeight="1" thickTop="1" x14ac:dyDescent="0.2">
      <c r="A16" s="2224" t="s">
        <v>1173</v>
      </c>
      <c r="B16" s="2214"/>
      <c r="C16" s="2208"/>
      <c r="D16" s="2209"/>
      <c r="E16" s="2209"/>
      <c r="F16" s="2210"/>
    </row>
    <row r="17" spans="1:11" ht="12.75" customHeight="1" thickBot="1" x14ac:dyDescent="0.25">
      <c r="A17" s="2206" t="s">
        <v>66</v>
      </c>
      <c r="B17" s="2207"/>
      <c r="C17" s="727"/>
      <c r="D17" s="585"/>
      <c r="E17" s="727"/>
      <c r="F17" s="1777">
        <f>SUM(C17+D17)-E17</f>
        <v>0</v>
      </c>
    </row>
    <row r="18" spans="1:11" ht="12.75" customHeight="1" thickTop="1" thickBot="1" x14ac:dyDescent="0.25">
      <c r="A18" s="2206" t="s">
        <v>6</v>
      </c>
      <c r="B18" s="2207"/>
      <c r="C18" s="727"/>
      <c r="D18" s="585"/>
      <c r="E18" s="727"/>
      <c r="F18" s="1777">
        <f>SUM(C18+D18)-E18</f>
        <v>0</v>
      </c>
    </row>
    <row r="19" spans="1:11" ht="12.75" customHeight="1" thickTop="1" thickBot="1" x14ac:dyDescent="0.25">
      <c r="A19" s="2206" t="s">
        <v>406</v>
      </c>
      <c r="B19" s="2207"/>
      <c r="C19" s="727"/>
      <c r="D19" s="585"/>
      <c r="E19" s="727"/>
      <c r="F19" s="1777">
        <f>SUM(C19+D19)-E19</f>
        <v>0</v>
      </c>
    </row>
    <row r="20" spans="1:11" ht="12.75" customHeight="1" thickTop="1" thickBot="1" x14ac:dyDescent="0.25">
      <c r="A20" s="2206" t="s">
        <v>468</v>
      </c>
      <c r="B20" s="2207"/>
      <c r="C20" s="727"/>
      <c r="D20" s="585"/>
      <c r="E20" s="727"/>
      <c r="F20" s="1777">
        <f>SUM(C20+D20)-E20</f>
        <v>0</v>
      </c>
    </row>
    <row r="21" spans="1:11" ht="14.25" thickTop="1" thickBot="1" x14ac:dyDescent="0.25">
      <c r="A21" s="2211" t="s">
        <v>653</v>
      </c>
      <c r="B21" s="2212"/>
      <c r="C21" s="1777">
        <f>SUM(C17:C20)</f>
        <v>0</v>
      </c>
      <c r="D21" s="1777">
        <f>SUM(D17:D20)</f>
        <v>0</v>
      </c>
      <c r="E21" s="1777">
        <f>SUM(E17:E20)</f>
        <v>0</v>
      </c>
      <c r="F21" s="1777">
        <f>SUM(F17:F20)</f>
        <v>0</v>
      </c>
      <c r="G21" s="552"/>
    </row>
    <row r="22" spans="1:11" ht="15.75" customHeight="1" thickTop="1" x14ac:dyDescent="0.2">
      <c r="A22" s="2213" t="s">
        <v>1174</v>
      </c>
      <c r="B22" s="2214"/>
      <c r="C22" s="2208"/>
      <c r="D22" s="2209"/>
      <c r="E22" s="2209"/>
      <c r="F22" s="2210"/>
    </row>
    <row r="23" spans="1:11" ht="13.5" thickBot="1" x14ac:dyDescent="0.25">
      <c r="A23" s="2215" t="s">
        <v>654</v>
      </c>
      <c r="B23" s="2216"/>
      <c r="C23" s="581"/>
      <c r="D23" s="581"/>
      <c r="E23" s="581"/>
      <c r="F23" s="1777">
        <f>SUM(C23+D23)-E23</f>
        <v>0</v>
      </c>
      <c r="G23" s="552"/>
    </row>
    <row r="24" spans="1:11" ht="15.75" customHeight="1" thickTop="1" x14ac:dyDescent="0.2">
      <c r="A24" s="2213" t="s">
        <v>1175</v>
      </c>
      <c r="B24" s="2214"/>
      <c r="C24" s="2208"/>
      <c r="D24" s="2209"/>
      <c r="E24" s="2209"/>
      <c r="F24" s="2210"/>
    </row>
    <row r="25" spans="1:11" ht="13.5" thickBot="1" x14ac:dyDescent="0.25">
      <c r="A25" s="2215" t="s">
        <v>655</v>
      </c>
      <c r="B25" s="2216"/>
      <c r="C25" s="581"/>
      <c r="D25" s="581"/>
      <c r="E25" s="581"/>
      <c r="F25" s="1777">
        <f>SUM(C25+D25)-E25</f>
        <v>0</v>
      </c>
      <c r="G25" s="552"/>
    </row>
    <row r="26" spans="1:11" ht="15.75" customHeight="1" thickTop="1" x14ac:dyDescent="0.2">
      <c r="A26" s="2219" t="s">
        <v>678</v>
      </c>
      <c r="B26" s="2214"/>
      <c r="C26" s="728"/>
      <c r="D26" s="728"/>
      <c r="E26" s="728"/>
      <c r="F26" s="729"/>
    </row>
    <row r="27" spans="1:11" ht="13.5" thickBot="1" x14ac:dyDescent="0.25">
      <c r="A27" s="2211" t="s">
        <v>1130</v>
      </c>
      <c r="B27" s="2212"/>
      <c r="C27" s="585"/>
      <c r="D27" s="585"/>
      <c r="E27" s="585"/>
      <c r="F27" s="1777">
        <f>SUM(C27+D27)-E27</f>
        <v>0</v>
      </c>
      <c r="G27" s="552"/>
    </row>
    <row r="28" spans="1:11" ht="7.5" customHeight="1" thickTop="1" x14ac:dyDescent="0.2">
      <c r="A28" s="594"/>
    </row>
    <row r="29" spans="1:11" ht="23.25" customHeight="1" x14ac:dyDescent="0.2">
      <c r="A29" s="2217" t="s">
        <v>603</v>
      </c>
      <c r="B29" s="2218"/>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0" t="s">
        <v>605</v>
      </c>
      <c r="C52" s="2201"/>
      <c r="D52" s="2201"/>
      <c r="E52" s="750" t="s">
        <v>900</v>
      </c>
      <c r="F52" s="2202"/>
      <c r="G52" s="2203"/>
      <c r="H52" s="737"/>
      <c r="I52" s="737"/>
      <c r="J52" s="747"/>
    </row>
    <row r="53" spans="1:11" ht="11.25" customHeight="1" x14ac:dyDescent="0.2">
      <c r="A53" s="751" t="s">
        <v>969</v>
      </c>
      <c r="B53" s="752" t="s">
        <v>1008</v>
      </c>
      <c r="C53" s="747"/>
      <c r="D53" s="738"/>
      <c r="E53" s="750" t="s">
        <v>518</v>
      </c>
      <c r="F53" s="2204"/>
      <c r="G53" s="2205"/>
      <c r="H53" s="737"/>
      <c r="I53" s="737"/>
      <c r="J53" s="747"/>
    </row>
    <row r="54" spans="1:11" ht="11.25" customHeight="1" x14ac:dyDescent="0.2">
      <c r="A54" s="753" t="s">
        <v>970</v>
      </c>
      <c r="B54" s="748" t="s">
        <v>1009</v>
      </c>
      <c r="C54" s="747"/>
      <c r="D54" s="738"/>
      <c r="E54" s="750" t="s">
        <v>519</v>
      </c>
      <c r="F54" s="2204"/>
      <c r="G54" s="220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9" t="s">
        <v>911</v>
      </c>
      <c r="B1" s="2230"/>
      <c r="C1" s="2230"/>
      <c r="D1" s="2230"/>
      <c r="E1" s="2230"/>
      <c r="F1" s="2230"/>
      <c r="G1" s="2231"/>
      <c r="H1" s="1552"/>
      <c r="I1" s="761"/>
      <c r="J1" s="433"/>
    </row>
    <row r="2" spans="1:11" ht="26.25" x14ac:dyDescent="0.2">
      <c r="A2" s="2248" t="s">
        <v>1776</v>
      </c>
      <c r="B2" s="2249"/>
      <c r="C2" s="2249"/>
      <c r="D2" s="2249"/>
      <c r="E2" s="2250"/>
      <c r="F2" s="762" t="s">
        <v>960</v>
      </c>
      <c r="G2" s="763" t="s">
        <v>1773</v>
      </c>
      <c r="H2" s="763" t="s">
        <v>430</v>
      </c>
      <c r="I2" s="763" t="s">
        <v>1220</v>
      </c>
      <c r="J2" s="763" t="s">
        <v>1919</v>
      </c>
      <c r="K2" s="763" t="s">
        <v>140</v>
      </c>
    </row>
    <row r="3" spans="1:11" x14ac:dyDescent="0.2">
      <c r="A3" s="2251" t="s">
        <v>1698</v>
      </c>
      <c r="B3" s="2252"/>
      <c r="C3" s="2252"/>
      <c r="D3" s="2252"/>
      <c r="E3" s="2253"/>
      <c r="F3" s="764"/>
      <c r="G3" s="765"/>
      <c r="H3" s="765"/>
      <c r="I3" s="765"/>
      <c r="J3" s="766"/>
      <c r="K3" s="766"/>
    </row>
    <row r="4" spans="1:11" x14ac:dyDescent="0.2">
      <c r="A4" s="2254" t="s">
        <v>387</v>
      </c>
      <c r="B4" s="2255"/>
      <c r="C4" s="2255"/>
      <c r="D4" s="2255"/>
      <c r="E4" s="2201"/>
      <c r="F4" s="767"/>
      <c r="G4" s="768"/>
      <c r="H4" s="769"/>
      <c r="I4" s="768"/>
      <c r="J4" s="770"/>
      <c r="K4" s="770"/>
    </row>
    <row r="5" spans="1:11" x14ac:dyDescent="0.2">
      <c r="A5" s="2232" t="s">
        <v>1129</v>
      </c>
      <c r="B5" s="2233"/>
      <c r="C5" s="2233"/>
      <c r="D5" s="2233"/>
      <c r="E5" s="2234"/>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2" t="s">
        <v>1920</v>
      </c>
      <c r="B10" s="2233"/>
      <c r="C10" s="2233"/>
      <c r="D10" s="2233"/>
      <c r="E10" s="2235"/>
      <c r="F10" s="784" t="s">
        <v>917</v>
      </c>
      <c r="G10" s="783"/>
      <c r="H10" s="785"/>
      <c r="I10" s="765"/>
      <c r="J10" s="766"/>
      <c r="K10" s="766"/>
    </row>
    <row r="11" spans="1:11" x14ac:dyDescent="0.2">
      <c r="A11" s="2232" t="s">
        <v>162</v>
      </c>
      <c r="B11" s="2233"/>
      <c r="C11" s="2233"/>
      <c r="D11" s="2233"/>
      <c r="E11" s="2234"/>
      <c r="F11" s="771" t="s">
        <v>907</v>
      </c>
      <c r="G11" s="772"/>
      <c r="H11" s="765"/>
      <c r="I11" s="765"/>
      <c r="J11" s="766"/>
      <c r="K11" s="774"/>
    </row>
    <row r="12" spans="1:11" ht="13.5" thickBot="1" x14ac:dyDescent="0.25">
      <c r="A12" s="2259" t="s">
        <v>961</v>
      </c>
      <c r="B12" s="2260"/>
      <c r="C12" s="2260"/>
      <c r="D12" s="2260"/>
      <c r="E12" s="2261"/>
      <c r="F12" s="1779"/>
      <c r="G12" s="1780">
        <f>SUM(G5:G11)</f>
        <v>0</v>
      </c>
      <c r="H12" s="1780">
        <f>SUM(H5:H11)</f>
        <v>0</v>
      </c>
      <c r="I12" s="1780">
        <f>SUM(I5:I11)</f>
        <v>0</v>
      </c>
      <c r="J12" s="1780">
        <f>SUM(J5:J11)</f>
        <v>0</v>
      </c>
      <c r="K12" s="1780">
        <f>SUM(K5:K11)</f>
        <v>0</v>
      </c>
    </row>
    <row r="13" spans="1:11" ht="13.5" thickTop="1" x14ac:dyDescent="0.2">
      <c r="A13" s="2256" t="s">
        <v>388</v>
      </c>
      <c r="B13" s="2257"/>
      <c r="C13" s="2257"/>
      <c r="D13" s="2257"/>
      <c r="E13" s="2258"/>
      <c r="F13" s="786"/>
      <c r="G13" s="787"/>
      <c r="H13" s="788"/>
      <c r="I13" s="789"/>
      <c r="J13" s="789"/>
      <c r="K13" s="789"/>
    </row>
    <row r="14" spans="1:11" x14ac:dyDescent="0.2">
      <c r="A14" s="2239" t="s">
        <v>476</v>
      </c>
      <c r="B14" s="2239"/>
      <c r="C14" s="2239"/>
      <c r="D14" s="2239"/>
      <c r="E14" s="2240"/>
      <c r="F14" s="790" t="s">
        <v>909</v>
      </c>
      <c r="G14" s="783"/>
      <c r="H14" s="765"/>
      <c r="I14" s="772"/>
      <c r="J14" s="774"/>
      <c r="K14" s="766"/>
    </row>
    <row r="15" spans="1:11" x14ac:dyDescent="0.2">
      <c r="A15" s="2233" t="s">
        <v>4</v>
      </c>
      <c r="B15" s="2233"/>
      <c r="C15" s="2233"/>
      <c r="D15" s="2233"/>
      <c r="E15" s="2234"/>
      <c r="F15" s="790" t="s">
        <v>910</v>
      </c>
      <c r="G15" s="772"/>
      <c r="H15" s="765"/>
      <c r="I15" s="765"/>
      <c r="J15" s="766"/>
      <c r="K15" s="766"/>
    </row>
    <row r="16" spans="1:11" x14ac:dyDescent="0.2">
      <c r="A16" s="2233" t="s">
        <v>316</v>
      </c>
      <c r="B16" s="2233"/>
      <c r="C16" s="2233"/>
      <c r="D16" s="2233"/>
      <c r="E16" s="2234"/>
      <c r="F16" s="790" t="s">
        <v>980</v>
      </c>
      <c r="G16" s="773"/>
      <c r="H16" s="768"/>
      <c r="I16" s="768"/>
      <c r="J16" s="770"/>
      <c r="K16" s="770"/>
    </row>
    <row r="17" spans="1:11" x14ac:dyDescent="0.2">
      <c r="A17" s="2264" t="s">
        <v>992</v>
      </c>
      <c r="B17" s="2264"/>
      <c r="C17" s="2264"/>
      <c r="D17" s="2264"/>
      <c r="E17" s="2265"/>
      <c r="F17" s="791"/>
      <c r="G17" s="792"/>
      <c r="H17" s="793"/>
      <c r="I17" s="793"/>
      <c r="J17" s="794"/>
      <c r="K17" s="795"/>
    </row>
    <row r="18" spans="1:11" x14ac:dyDescent="0.2">
      <c r="A18" s="2243" t="s">
        <v>386</v>
      </c>
      <c r="B18" s="2244"/>
      <c r="C18" s="2244"/>
      <c r="D18" s="2244"/>
      <c r="E18" s="2245"/>
      <c r="F18" s="790" t="s">
        <v>989</v>
      </c>
      <c r="G18" s="783"/>
      <c r="H18" s="783"/>
      <c r="I18" s="783"/>
      <c r="J18" s="766"/>
      <c r="K18" s="796"/>
    </row>
    <row r="19" spans="1:11" ht="21.75" customHeight="1" x14ac:dyDescent="0.2">
      <c r="A19" s="2241" t="s">
        <v>1916</v>
      </c>
      <c r="B19" s="2241"/>
      <c r="C19" s="2241"/>
      <c r="D19" s="2241"/>
      <c r="E19" s="2242"/>
      <c r="F19" s="790" t="s">
        <v>990</v>
      </c>
      <c r="G19" s="783"/>
      <c r="H19" s="783"/>
      <c r="I19" s="783"/>
      <c r="J19" s="766"/>
      <c r="K19" s="796"/>
    </row>
    <row r="20" spans="1:11" x14ac:dyDescent="0.2">
      <c r="A20" s="2243" t="s">
        <v>1921</v>
      </c>
      <c r="B20" s="2244"/>
      <c r="C20" s="2244"/>
      <c r="D20" s="2244"/>
      <c r="E20" s="2245"/>
      <c r="F20" s="790" t="s">
        <v>991</v>
      </c>
      <c r="G20" s="783"/>
      <c r="H20" s="783"/>
      <c r="I20" s="783"/>
      <c r="J20" s="766"/>
      <c r="K20" s="796"/>
    </row>
    <row r="21" spans="1:11" ht="13.5" thickBot="1" x14ac:dyDescent="0.25">
      <c r="A21" s="2262" t="s">
        <v>659</v>
      </c>
      <c r="B21" s="2262"/>
      <c r="C21" s="2262"/>
      <c r="D21" s="2262"/>
      <c r="E21" s="2262"/>
      <c r="F21" s="1781"/>
      <c r="G21" s="793"/>
      <c r="H21" s="797"/>
      <c r="I21" s="797"/>
      <c r="J21" s="1782">
        <f>SUM(J18:J20)</f>
        <v>0</v>
      </c>
      <c r="K21" s="794"/>
    </row>
    <row r="22" spans="1:11" ht="13.5" thickTop="1" x14ac:dyDescent="0.2">
      <c r="A22" s="2233" t="s">
        <v>1922</v>
      </c>
      <c r="B22" s="2233"/>
      <c r="C22" s="2233"/>
      <c r="D22" s="2233"/>
      <c r="E22" s="2234"/>
      <c r="F22" s="790" t="s">
        <v>917</v>
      </c>
      <c r="G22" s="783"/>
      <c r="H22" s="765"/>
      <c r="I22" s="765"/>
      <c r="J22" s="798"/>
      <c r="K22" s="766"/>
    </row>
    <row r="23" spans="1:11" ht="13.5" thickBot="1" x14ac:dyDescent="0.25">
      <c r="A23" s="2263" t="s">
        <v>962</v>
      </c>
      <c r="B23" s="2262"/>
      <c r="C23" s="2262"/>
      <c r="D23" s="2262"/>
      <c r="E23" s="2262"/>
      <c r="F23" s="1783"/>
      <c r="G23" s="1780">
        <f>SUM(G14:G16,G21,G22)</f>
        <v>0</v>
      </c>
      <c r="H23" s="1780">
        <f>SUM(H14:H16,H21,H22)</f>
        <v>0</v>
      </c>
      <c r="I23" s="1780">
        <f>SUM(I14:I16,I21,I22)</f>
        <v>0</v>
      </c>
      <c r="J23" s="1780">
        <f>SUM(J14:J16,J21,J22)</f>
        <v>0</v>
      </c>
      <c r="K23" s="1780">
        <f>SUM(K14:K16,K21,K22)</f>
        <v>0</v>
      </c>
    </row>
    <row r="24" spans="1:11" ht="14.25" thickTop="1" thickBot="1" x14ac:dyDescent="0.25">
      <c r="A24" s="2263" t="s">
        <v>2026</v>
      </c>
      <c r="B24" s="2262"/>
      <c r="C24" s="2262"/>
      <c r="D24" s="2262"/>
      <c r="E24" s="226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6"/>
      <c r="I31" s="2237"/>
      <c r="J31" s="2237"/>
      <c r="K31" s="2237"/>
    </row>
    <row r="32" spans="1:11" x14ac:dyDescent="0.2">
      <c r="A32" s="810"/>
      <c r="B32" s="237"/>
      <c r="C32" s="237"/>
      <c r="D32" s="237"/>
      <c r="E32" s="806"/>
      <c r="F32" s="812" t="s">
        <v>561</v>
      </c>
      <c r="G32" s="765"/>
      <c r="H32" s="2238"/>
      <c r="I32" s="2237"/>
      <c r="J32" s="2237"/>
      <c r="K32" s="2237"/>
    </row>
    <row r="33" spans="1:11" ht="1.5" customHeight="1" x14ac:dyDescent="0.2">
      <c r="A33" s="813" t="s">
        <v>1231</v>
      </c>
      <c r="B33" s="364"/>
      <c r="C33" s="364"/>
      <c r="D33" s="364"/>
      <c r="E33" s="364"/>
      <c r="F33" s="364"/>
      <c r="G33" s="814"/>
      <c r="H33" s="2238"/>
      <c r="I33" s="2237"/>
      <c r="J33" s="2237"/>
      <c r="K33" s="2237"/>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46"/>
      <c r="C41" s="2246"/>
      <c r="D41" s="2246"/>
      <c r="E41" s="2246"/>
      <c r="F41" s="224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3" sqref="J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2035</v>
      </c>
      <c r="B1" s="2269"/>
      <c r="C1" s="2270"/>
      <c r="D1" s="827"/>
      <c r="E1" s="828"/>
      <c r="F1" s="828"/>
      <c r="G1" s="829"/>
      <c r="H1" s="830"/>
      <c r="I1" s="831"/>
      <c r="J1" s="2266"/>
      <c r="K1" s="2267"/>
      <c r="L1" s="2267"/>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c r="D12" s="845"/>
      <c r="E12" s="845"/>
      <c r="F12" s="1782">
        <f>(C12+D12)-E12</f>
        <v>0</v>
      </c>
      <c r="G12" s="844">
        <v>10</v>
      </c>
      <c r="H12" s="766"/>
      <c r="I12" s="766"/>
      <c r="J12" s="766"/>
      <c r="K12" s="1791">
        <f>(H12+I12)-J12</f>
        <v>0</v>
      </c>
      <c r="L12" s="1791">
        <f>F12-K12</f>
        <v>0</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0</v>
      </c>
      <c r="D16" s="1782">
        <f>SUM(D3,D5:D6,D8:D10,D12:D15)</f>
        <v>0</v>
      </c>
      <c r="E16" s="1782">
        <f>SUM(E3,E5:E6,E8:E10,E12:E15)</f>
        <v>0</v>
      </c>
      <c r="F16" s="1782">
        <f>SUM(F3,F5:F6,F8:F10,F12:F15)</f>
        <v>0</v>
      </c>
      <c r="G16" s="844"/>
      <c r="H16" s="1782">
        <f>SUM(H3,H6,H8:H10,H12:H14,)</f>
        <v>0</v>
      </c>
      <c r="I16" s="1782">
        <f>SUM(I3,I6,I8:I10,I12:I14,)</f>
        <v>0</v>
      </c>
      <c r="J16" s="1782">
        <f>SUM(J3,J6,J8:J10,J12:J14,)</f>
        <v>0</v>
      </c>
      <c r="K16" s="1782">
        <f>(H16+I16)-J16</f>
        <v>0</v>
      </c>
      <c r="L16" s="1782">
        <f>F16-K16</f>
        <v>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187" sqref="A18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4" t="s">
        <v>1699</v>
      </c>
      <c r="B1" s="2275"/>
      <c r="C1" s="2275"/>
      <c r="D1" s="2275"/>
      <c r="E1" s="2275"/>
      <c r="F1" s="2276"/>
      <c r="G1" s="856"/>
    </row>
    <row r="2" spans="1:7" ht="15" customHeight="1" thickBot="1" x14ac:dyDescent="0.25">
      <c r="A2" s="2277" t="s">
        <v>498</v>
      </c>
      <c r="B2" s="2278"/>
      <c r="C2" s="2278"/>
      <c r="D2" s="2278"/>
      <c r="E2" s="2278"/>
      <c r="F2" s="2279"/>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0"/>
      <c r="B5" s="2281"/>
      <c r="C5" s="2281"/>
      <c r="D5" s="2281"/>
      <c r="E5" s="2281"/>
      <c r="F5" s="2281"/>
    </row>
    <row r="6" spans="1:7" ht="13.5" customHeight="1" thickBot="1" x14ac:dyDescent="0.25">
      <c r="A6" s="2271" t="s">
        <v>1166</v>
      </c>
      <c r="B6" s="2272"/>
      <c r="C6" s="2272"/>
      <c r="D6" s="2272"/>
      <c r="E6" s="2272"/>
      <c r="F6" s="2273"/>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6746290</v>
      </c>
      <c r="G8" s="866"/>
    </row>
    <row r="9" spans="1:7" x14ac:dyDescent="0.2">
      <c r="A9" s="870" t="s">
        <v>480</v>
      </c>
      <c r="B9" s="871" t="s">
        <v>1989</v>
      </c>
      <c r="C9" s="872"/>
      <c r="D9" s="870" t="s">
        <v>522</v>
      </c>
      <c r="E9" s="869"/>
      <c r="F9" s="1935">
        <f>'Expenditures 15-22'!K151</f>
        <v>307625</v>
      </c>
      <c r="G9" s="873"/>
    </row>
    <row r="10" spans="1:7" x14ac:dyDescent="0.2">
      <c r="A10" s="870" t="s">
        <v>520</v>
      </c>
      <c r="B10" s="871" t="s">
        <v>1990</v>
      </c>
      <c r="C10" s="872"/>
      <c r="D10" s="870" t="s">
        <v>522</v>
      </c>
      <c r="E10" s="869"/>
      <c r="F10" s="1935">
        <f>'Expenditures 15-22'!K174</f>
        <v>0</v>
      </c>
      <c r="G10" s="873"/>
    </row>
    <row r="11" spans="1:7" x14ac:dyDescent="0.2">
      <c r="A11" s="870" t="s">
        <v>481</v>
      </c>
      <c r="B11" s="871" t="s">
        <v>1991</v>
      </c>
      <c r="C11" s="872"/>
      <c r="D11" s="870" t="s">
        <v>522</v>
      </c>
      <c r="E11" s="869"/>
      <c r="F11" s="1935">
        <f>'Expenditures 15-22'!K210</f>
        <v>0</v>
      </c>
      <c r="G11" s="873"/>
    </row>
    <row r="12" spans="1:7" x14ac:dyDescent="0.2">
      <c r="A12" s="870" t="s">
        <v>482</v>
      </c>
      <c r="B12" s="871" t="s">
        <v>1992</v>
      </c>
      <c r="C12" s="872"/>
      <c r="D12" s="870" t="s">
        <v>522</v>
      </c>
      <c r="E12" s="869"/>
      <c r="F12" s="1935">
        <f>'Expenditures 15-22'!K295</f>
        <v>140362</v>
      </c>
      <c r="G12" s="873"/>
    </row>
    <row r="13" spans="1:7" x14ac:dyDescent="0.2">
      <c r="A13" s="870" t="s">
        <v>108</v>
      </c>
      <c r="B13" s="871" t="s">
        <v>1993</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7194277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68108</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1406</v>
      </c>
      <c r="G52" s="866"/>
    </row>
    <row r="53" spans="1:7" x14ac:dyDescent="0.2">
      <c r="A53" s="870" t="s">
        <v>479</v>
      </c>
      <c r="B53" s="870" t="s">
        <v>1551</v>
      </c>
      <c r="C53" s="890">
        <f>'Expenditures 15-22'!B102</f>
        <v>4000</v>
      </c>
      <c r="D53" s="889" t="str">
        <f>'Expenditures 15-22'!A102</f>
        <v>Total Payments to Other Govt Units</v>
      </c>
      <c r="E53" s="869"/>
      <c r="F53" s="1939">
        <f>'Expenditures 15-22'!K102</f>
        <v>0</v>
      </c>
      <c r="G53" s="866"/>
    </row>
    <row r="54" spans="1:7" x14ac:dyDescent="0.2">
      <c r="A54" s="870" t="s">
        <v>479</v>
      </c>
      <c r="B54" s="870" t="s">
        <v>1552</v>
      </c>
      <c r="C54" s="890" t="s">
        <v>1039</v>
      </c>
      <c r="D54" s="886" t="s">
        <v>1157</v>
      </c>
      <c r="E54" s="869"/>
      <c r="F54" s="1939">
        <f>'Expenditures 15-22'!G114</f>
        <v>1211</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70725</v>
      </c>
      <c r="G76" s="866"/>
    </row>
    <row r="77" spans="1:8" s="894" customFormat="1" ht="12" customHeight="1" thickTop="1" thickBot="1" x14ac:dyDescent="0.25">
      <c r="A77" s="1801"/>
      <c r="B77" s="1798"/>
      <c r="C77" s="1794"/>
      <c r="D77" s="1799" t="s">
        <v>2012</v>
      </c>
      <c r="E77" s="1796"/>
      <c r="F77" s="1802">
        <f>(F14-F76)</f>
        <v>7123552</v>
      </c>
      <c r="G77" s="870"/>
    </row>
    <row r="78" spans="1:8" s="894" customFormat="1" ht="12" customHeight="1" thickTop="1" x14ac:dyDescent="0.2">
      <c r="A78" s="1803"/>
      <c r="B78" s="1798"/>
      <c r="C78" s="1794"/>
      <c r="D78" s="1799" t="s">
        <v>2059</v>
      </c>
      <c r="E78" s="1796"/>
      <c r="F78" s="899">
        <v>0</v>
      </c>
      <c r="G78" s="900"/>
      <c r="H78" s="870"/>
    </row>
    <row r="79" spans="1:8" s="894" customFormat="1" ht="12" customHeight="1" thickBot="1" x14ac:dyDescent="0.25">
      <c r="A79" s="1804"/>
      <c r="B79" s="1798"/>
      <c r="C79" s="1794"/>
      <c r="D79" s="1799" t="s">
        <v>2013</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1" t="s">
        <v>1167</v>
      </c>
      <c r="B81" s="2272"/>
      <c r="C81" s="2272"/>
      <c r="D81" s="2272"/>
      <c r="E81" s="2272"/>
      <c r="F81" s="2273"/>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948</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2000000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133061</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95105</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2229114</v>
      </c>
    </row>
    <row r="179" spans="1:7" ht="12" customHeight="1" x14ac:dyDescent="0.2">
      <c r="A179" s="1792"/>
      <c r="B179" s="1806"/>
      <c r="C179" s="1807"/>
      <c r="D179" s="1808" t="s">
        <v>2015</v>
      </c>
      <c r="E179" s="1809"/>
      <c r="F179" s="1811">
        <f>'PCTC-OEPP 27-28'!F77-F178</f>
        <v>4894438</v>
      </c>
    </row>
    <row r="180" spans="1:7" ht="12" customHeight="1" x14ac:dyDescent="0.2">
      <c r="A180" s="1792"/>
      <c r="B180" s="1806"/>
      <c r="C180" s="1807"/>
      <c r="D180" s="1808" t="s">
        <v>1924</v>
      </c>
      <c r="E180" s="1809"/>
      <c r="F180" s="1811">
        <f>'Cap Outlay Deprec 26'!I18</f>
        <v>0</v>
      </c>
    </row>
    <row r="181" spans="1:7" ht="12" customHeight="1" x14ac:dyDescent="0.2">
      <c r="A181" s="1792"/>
      <c r="B181" s="1806"/>
      <c r="C181" s="1807"/>
      <c r="D181" s="1808" t="s">
        <v>2016</v>
      </c>
      <c r="E181" s="1809"/>
      <c r="F181" s="1811">
        <f>F179+F180</f>
        <v>4894438</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2017</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5" t="s">
        <v>1925</v>
      </c>
      <c r="B4" s="2286"/>
      <c r="C4" s="2286"/>
      <c r="D4" s="2286"/>
      <c r="E4" s="2286"/>
      <c r="F4" s="2286"/>
      <c r="G4" s="2287"/>
    </row>
    <row r="5" spans="1:7" x14ac:dyDescent="0.25">
      <c r="A5" s="2288"/>
      <c r="B5" s="2289"/>
      <c r="C5" s="2289"/>
      <c r="D5" s="2289"/>
      <c r="E5" s="2289"/>
      <c r="F5" s="2289"/>
      <c r="G5" s="2290"/>
    </row>
    <row r="6" spans="1:7" ht="18.75" x14ac:dyDescent="0.25">
      <c r="A6" s="1556" t="s">
        <v>1926</v>
      </c>
      <c r="B6" s="1557"/>
      <c r="C6" s="1557"/>
      <c r="D6" s="1557"/>
      <c r="E6" s="1557"/>
      <c r="F6" s="1557"/>
      <c r="G6" s="1558"/>
    </row>
    <row r="7" spans="1:7" ht="30.75" customHeight="1" x14ac:dyDescent="0.25">
      <c r="A7" s="2291" t="s">
        <v>2075</v>
      </c>
      <c r="B7" s="2292"/>
      <c r="C7" s="2292"/>
      <c r="D7" s="2292"/>
      <c r="E7" s="2292"/>
      <c r="F7" s="2292"/>
      <c r="G7" s="2293"/>
    </row>
    <row r="8" spans="1:7" ht="15.75" customHeight="1" x14ac:dyDescent="0.25">
      <c r="A8" s="2294" t="s">
        <v>2024</v>
      </c>
      <c r="B8" s="2295"/>
      <c r="C8" s="2295"/>
      <c r="D8" s="2295"/>
      <c r="E8" s="2295"/>
      <c r="F8" s="2295"/>
      <c r="G8" s="2296"/>
    </row>
    <row r="9" spans="1:7" ht="35.25" customHeight="1" x14ac:dyDescent="0.25">
      <c r="A9" s="2291" t="s">
        <v>2023</v>
      </c>
      <c r="B9" s="2292"/>
      <c r="C9" s="2292"/>
      <c r="D9" s="2292"/>
      <c r="E9" s="2292"/>
      <c r="F9" s="2292"/>
      <c r="G9" s="2293"/>
    </row>
    <row r="10" spans="1:7" ht="15" customHeight="1" x14ac:dyDescent="0.25">
      <c r="A10" s="1559" t="s">
        <v>1927</v>
      </c>
      <c r="B10" s="1560"/>
      <c r="C10" s="1560"/>
      <c r="D10" s="1560"/>
      <c r="E10" s="1560"/>
      <c r="F10" s="1560"/>
      <c r="G10" s="1561"/>
    </row>
    <row r="11" spans="1:7" ht="17.25" customHeight="1" x14ac:dyDescent="0.25">
      <c r="A11" s="2291" t="s">
        <v>1941</v>
      </c>
      <c r="B11" s="2292"/>
      <c r="C11" s="2292"/>
      <c r="D11" s="2292"/>
      <c r="E11" s="2292"/>
      <c r="F11" s="2292"/>
      <c r="G11" s="2293"/>
    </row>
    <row r="12" spans="1:7" ht="15" customHeight="1" x14ac:dyDescent="0.25">
      <c r="A12" s="1559" t="s">
        <v>1932</v>
      </c>
      <c r="B12" s="1560"/>
      <c r="C12" s="1560"/>
      <c r="D12" s="1560"/>
      <c r="E12" s="1560"/>
      <c r="F12" s="1560"/>
      <c r="G12" s="1561"/>
    </row>
    <row r="13" spans="1:7" ht="32.25" customHeight="1" x14ac:dyDescent="0.25">
      <c r="A13" s="2282" t="s">
        <v>1933</v>
      </c>
      <c r="B13" s="2283"/>
      <c r="C13" s="2283"/>
      <c r="D13" s="2283"/>
      <c r="E13" s="2283"/>
      <c r="F13" s="2283"/>
      <c r="G13" s="2284"/>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7" t="s">
        <v>1778</v>
      </c>
      <c r="B5" s="2298"/>
      <c r="C5" s="2298"/>
      <c r="D5" s="2298"/>
      <c r="E5" s="2298"/>
      <c r="F5" s="2298"/>
      <c r="G5" s="2299"/>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2" t="s">
        <v>1945</v>
      </c>
      <c r="B11" s="2303"/>
      <c r="C11" s="2303"/>
      <c r="D11" s="2304"/>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4937749</v>
      </c>
      <c r="F19" s="1822"/>
      <c r="G19" s="1824">
        <f>'Expenditures 15-22'!K33-SUM('Expenditures 15-22'!G33,'Expenditures 15-22'!I33)+'Expenditures 15-22'!D229</f>
        <v>4937749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1884435</v>
      </c>
      <c r="F21" s="1825"/>
      <c r="G21" s="1828">
        <f>'Expenditures 15-22'!K42-SUM('Expenditures 15-22'!G42,'Expenditures 15-22'!I42)+'Expenditures 15-22'!K120-SUM('Expenditures 15-22'!G120,'Expenditures 15-22'!I120)+'Expenditures 15-22'!K180-SUM('Expenditures 15-22'!G180,'Expenditures 15-22'!I180)+'Expenditures 15-22'!D238</f>
        <v>1884435</v>
      </c>
      <c r="H21" s="988"/>
      <c r="I21" s="162"/>
    </row>
    <row r="22" spans="1:9" s="669" customFormat="1" ht="12" customHeight="1" x14ac:dyDescent="0.2">
      <c r="A22" s="995" t="s">
        <v>585</v>
      </c>
      <c r="B22" s="996"/>
      <c r="C22" s="994">
        <v>2200</v>
      </c>
      <c r="D22" s="1825"/>
      <c r="E22" s="1827">
        <f>'Expenditures 15-22'!K47-SUM('Expenditures 15-22'!G47,'Expenditures 15-22'!I47)+'Expenditures 15-22'!D243</f>
        <v>2959</v>
      </c>
      <c r="F22" s="1825"/>
      <c r="G22" s="1828">
        <f>'Expenditures 15-22'!K47-SUM('Expenditures 15-22'!G47,'Expenditures 15-22'!I47)+'Expenditures 15-22'!D243</f>
        <v>2959</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7603</v>
      </c>
      <c r="F23" s="1825"/>
      <c r="G23" s="1827">
        <f>'Expenditures 15-22'!K53-SUM('Expenditures 15-22'!G53,'Expenditures 15-22'!I53)+'Expenditures 15-22'!D257+'Expenditures 15-22'!K330-SUM('Expenditures 15-22'!G330,'Expenditures 15-22'!I330)</f>
        <v>7603</v>
      </c>
      <c r="H23" s="988"/>
      <c r="I23" s="162"/>
    </row>
    <row r="24" spans="1:9" s="669" customFormat="1" ht="12" customHeight="1" x14ac:dyDescent="0.2">
      <c r="A24" s="995" t="s">
        <v>587</v>
      </c>
      <c r="B24" s="996"/>
      <c r="C24" s="994">
        <v>2400</v>
      </c>
      <c r="D24" s="1825"/>
      <c r="E24" s="1827">
        <f>'Expenditures 15-22'!K57-SUM('Expenditures 15-22'!G57,'Expenditures 15-22'!I57)+'Expenditures 15-22'!D261</f>
        <v>1590</v>
      </c>
      <c r="F24" s="1825"/>
      <c r="G24" s="1828">
        <f>'Expenditures 15-22'!K57-SUM('Expenditures 15-22'!G57,'Expenditures 15-22'!I57)+'Expenditures 15-22'!D261</f>
        <v>1590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20600</v>
      </c>
      <c r="E27" s="1827">
        <f>E8</f>
        <v>0</v>
      </c>
      <c r="F27" s="1827">
        <f>'Expenditures 15-22'!K60-SUM('Expenditures 15-22'!G60,'Expenditures 15-22'!I60)+'Expenditures 15-22'!D264-E8</f>
        <v>20600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318739</v>
      </c>
      <c r="F28" s="1829">
        <f>'Expenditures 15-22'!K61-SUM('Expenditures 15-22'!G61,'Expenditures 15-22'!I61)+'Expenditures 15-22'!K124-SUM('Expenditures 15-22'!G124,'Expenditures 15-22'!I124)+'Expenditures 15-22'!D266-E9</f>
        <v>318739</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1601</v>
      </c>
      <c r="F30" s="1825"/>
      <c r="G30" s="1827">
        <f>'Expenditures 15-22'!K63-SUM('Expenditures 15-22'!G63,'Expenditures 15-22'!I63)+'Expenditures 15-22'!D268-E10</f>
        <v>1601</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3325</v>
      </c>
      <c r="E36" s="1827">
        <f>E13</f>
        <v>0</v>
      </c>
      <c r="F36" s="1827">
        <f>'Expenditures 15-22'!K70-SUM('Expenditures 15-22'!G70,'Expenditures 15-22'!I70)+'Expenditures 15-22'!D275-E13</f>
        <v>3325</v>
      </c>
      <c r="G36" s="1827">
        <f>E13</f>
        <v>0</v>
      </c>
    </row>
    <row r="37" spans="1:7" ht="12" customHeight="1" x14ac:dyDescent="0.2">
      <c r="A37" s="995" t="s">
        <v>424</v>
      </c>
      <c r="B37" s="998"/>
      <c r="C37" s="994">
        <v>2660</v>
      </c>
      <c r="D37" s="1827">
        <f>'Expenditures 15-22'!K71-SUM('Expenditures 15-22'!G71,'Expenditures 15-22'!I71)+'Expenditures 15-22'!D276-E14</f>
        <v>13059</v>
      </c>
      <c r="E37" s="1827">
        <f>E14</f>
        <v>0</v>
      </c>
      <c r="F37" s="1827">
        <f>'Expenditures 15-22'!K71-SUM('Expenditures 15-22'!G71,'Expenditures 15-22'!I71)+'Expenditures 15-22'!D276-E14</f>
        <v>13059</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1406</v>
      </c>
      <c r="F39" s="1825"/>
      <c r="G39" s="1827">
        <f>'Expenditures 15-22'!K75-SUM('Expenditures 15-22'!G75,'Expenditures 15-22'!I75)+'Expenditures 15-22'!K130-SUM('Expenditures 15-22'!G130,'Expenditures 15-22'!I130)+'Expenditures 15-22'!K185-SUM('Expenditures 15-22'!G185,'Expenditures 15-22'!I185)+'Expenditures 15-22'!D280</f>
        <v>1406</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36984</v>
      </c>
      <c r="E41" s="1829">
        <f>SUM(E19:E40)</f>
        <v>7156082</v>
      </c>
      <c r="F41" s="1829">
        <f>SUM(F19:F39)</f>
        <v>355723</v>
      </c>
      <c r="G41" s="1829">
        <f>SUM(G19:G40)</f>
        <v>6837343</v>
      </c>
    </row>
    <row r="42" spans="1:7" x14ac:dyDescent="0.2">
      <c r="A42" s="988"/>
      <c r="B42" s="162"/>
      <c r="C42" s="1002"/>
      <c r="D42" s="2300" t="s">
        <v>543</v>
      </c>
      <c r="E42" s="2301"/>
      <c r="F42" s="1003" t="s">
        <v>544</v>
      </c>
      <c r="G42" s="1004"/>
    </row>
    <row r="43" spans="1:7" ht="12" customHeight="1" x14ac:dyDescent="0.2">
      <c r="A43" s="988"/>
      <c r="B43" s="162"/>
      <c r="C43" s="1002"/>
      <c r="D43" s="1830" t="s">
        <v>493</v>
      </c>
      <c r="E43" s="1831">
        <f>D41</f>
        <v>36984</v>
      </c>
      <c r="F43" s="1830" t="s">
        <v>495</v>
      </c>
      <c r="G43" s="1831">
        <f>F41</f>
        <v>355723</v>
      </c>
    </row>
    <row r="44" spans="1:7" ht="12" customHeight="1" x14ac:dyDescent="0.2">
      <c r="A44" s="988"/>
      <c r="B44" s="162"/>
      <c r="C44" s="1002"/>
      <c r="D44" s="1830" t="s">
        <v>494</v>
      </c>
      <c r="E44" s="1831">
        <f>E41</f>
        <v>7156082</v>
      </c>
      <c r="F44" s="1830" t="s">
        <v>494</v>
      </c>
      <c r="G44" s="1831">
        <f>G41</f>
        <v>6837343</v>
      </c>
    </row>
    <row r="45" spans="1:7" ht="12" customHeight="1" x14ac:dyDescent="0.2">
      <c r="A45" s="988"/>
      <c r="B45" s="162"/>
      <c r="C45" s="162"/>
      <c r="D45" s="1832" t="s">
        <v>1063</v>
      </c>
      <c r="E45" s="1833">
        <f>(E43/E44)</f>
        <v>5.168191197361908E-3</v>
      </c>
      <c r="F45" s="1832" t="s">
        <v>1063</v>
      </c>
      <c r="G45" s="1833">
        <f>(G43/G44)</f>
        <v>5.2026496257391211E-2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47" sqref="A47"/>
      <selection pane="bottomLeft" activeCell="A8" sqref="A8"/>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9" t="s">
        <v>1446</v>
      </c>
      <c r="B1" s="2319"/>
      <c r="C1" s="2319"/>
      <c r="D1" s="2319"/>
      <c r="E1" s="2319"/>
      <c r="F1" s="2319"/>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0" t="s">
        <v>1627</v>
      </c>
      <c r="B5" s="2321"/>
      <c r="C5" s="2322"/>
      <c r="D5" s="2322"/>
      <c r="E5" s="2322"/>
      <c r="F5" s="2322"/>
    </row>
    <row r="6" spans="1:10" ht="12" customHeight="1" x14ac:dyDescent="0.25">
      <c r="A6" s="1875"/>
      <c r="B6" s="1876"/>
      <c r="C6" s="2323" t="str">
        <f>COVER!A17</f>
        <v>Hope D Wall</v>
      </c>
      <c r="D6" s="2323"/>
      <c r="E6" s="2323"/>
      <c r="F6" s="1877"/>
    </row>
    <row r="7" spans="1:10" ht="11.25" customHeight="1" thickBot="1" x14ac:dyDescent="0.3">
      <c r="A7" s="1875"/>
      <c r="B7" s="1876"/>
      <c r="C7" s="2324" t="str">
        <f>COVER!A13</f>
        <v>31-045-1290-61</v>
      </c>
      <c r="D7" s="2324"/>
      <c r="E7" s="2324"/>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25"/>
      <c r="D35" s="2325"/>
      <c r="E35" s="2325"/>
      <c r="F35" s="2326"/>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11"/>
      <c r="B38" s="2312"/>
      <c r="C38" s="2312"/>
      <c r="D38" s="2312"/>
      <c r="E38" s="2312"/>
      <c r="F38" s="2313"/>
    </row>
    <row r="39" spans="1:11" ht="4.5" hidden="1" customHeight="1" x14ac:dyDescent="0.2">
      <c r="A39" s="1898"/>
      <c r="B39" s="1898"/>
      <c r="C39" s="1898"/>
      <c r="D39" s="1898"/>
      <c r="E39" s="1898"/>
      <c r="F39" s="1898"/>
    </row>
    <row r="40" spans="1:11" s="1895" customFormat="1" ht="12" customHeight="1" x14ac:dyDescent="0.25">
      <c r="A40" s="1899" t="s">
        <v>1458</v>
      </c>
      <c r="B40" s="1900"/>
      <c r="C40" s="2314"/>
      <c r="D40" s="2314"/>
      <c r="E40" s="2314"/>
      <c r="F40" s="2315"/>
      <c r="H40" s="1904"/>
      <c r="I40" s="1904"/>
      <c r="J40" s="1904"/>
      <c r="K40" s="1904"/>
    </row>
    <row r="41" spans="1:11" s="1895" customFormat="1" ht="12" customHeight="1" x14ac:dyDescent="0.25">
      <c r="A41" s="2316"/>
      <c r="B41" s="2317"/>
      <c r="C41" s="2317"/>
      <c r="D41" s="2317"/>
      <c r="E41" s="2317"/>
      <c r="F41" s="2318"/>
      <c r="H41" s="1904"/>
      <c r="I41" s="1904"/>
      <c r="J41" s="1904"/>
      <c r="K41" s="1904"/>
    </row>
    <row r="42" spans="1:11" s="1895" customFormat="1" ht="12" customHeight="1" x14ac:dyDescent="0.25">
      <c r="A42" s="2316"/>
      <c r="B42" s="2317"/>
      <c r="C42" s="2317"/>
      <c r="D42" s="2317"/>
      <c r="E42" s="2317"/>
      <c r="F42" s="2318"/>
      <c r="H42" s="1904"/>
      <c r="I42" s="1904"/>
      <c r="J42" s="1904"/>
      <c r="K42" s="1904"/>
    </row>
    <row r="43" spans="1:11" s="1895" customFormat="1" ht="15" x14ac:dyDescent="0.25">
      <c r="A43" s="2305"/>
      <c r="B43" s="2306"/>
      <c r="C43" s="2306"/>
      <c r="D43" s="2306"/>
      <c r="E43" s="2306"/>
      <c r="F43" s="2307"/>
      <c r="H43" s="1904"/>
      <c r="I43" s="1904"/>
      <c r="J43" s="1904"/>
      <c r="K43" s="1904"/>
    </row>
    <row r="44" spans="1:11" s="1895" customFormat="1" ht="12" hidden="1" customHeight="1" x14ac:dyDescent="0.25">
      <c r="A44" s="2305"/>
      <c r="B44" s="2306"/>
      <c r="C44" s="2306"/>
      <c r="D44" s="2306"/>
      <c r="E44" s="2306"/>
      <c r="F44" s="2307"/>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2" t="str">
        <f>COVER!A17</f>
        <v>Hope D Wall</v>
      </c>
      <c r="J6" s="2333"/>
      <c r="Q6" s="1686"/>
    </row>
    <row r="7" spans="1:17" x14ac:dyDescent="0.2">
      <c r="A7" s="2334" t="s">
        <v>924</v>
      </c>
      <c r="B7" s="2335"/>
      <c r="C7" s="2335"/>
      <c r="D7" s="2335"/>
      <c r="E7" s="2336"/>
      <c r="F7" s="1018"/>
      <c r="G7" s="1010"/>
      <c r="H7" s="1017" t="s">
        <v>390</v>
      </c>
      <c r="I7" s="2337" t="str">
        <f>COVER!A13</f>
        <v>31-045-1290-61</v>
      </c>
      <c r="J7" s="2337"/>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8" t="s">
        <v>502</v>
      </c>
      <c r="B11" s="2339"/>
      <c r="C11" s="234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0</v>
      </c>
      <c r="F12" s="1040"/>
      <c r="G12" s="1834">
        <f t="shared" ref="G12:G18" si="0">SUM(E12:F12)</f>
        <v>0</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1211</v>
      </c>
      <c r="F16" s="1040"/>
      <c r="G16" s="1834">
        <f t="shared" si="0"/>
        <v>1211</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1" t="s">
        <v>7</v>
      </c>
      <c r="C18" s="2342"/>
      <c r="D18" s="2343"/>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1211</v>
      </c>
      <c r="F19" s="1836">
        <f t="shared" si="2"/>
        <v>0</v>
      </c>
      <c r="G19" s="1836">
        <f t="shared" si="2"/>
        <v>1211</v>
      </c>
      <c r="H19" s="1836">
        <f t="shared" si="2"/>
        <v>0</v>
      </c>
      <c r="I19" s="1836">
        <f t="shared" si="2"/>
        <v>0</v>
      </c>
      <c r="J19" s="1836">
        <f t="shared" si="2"/>
        <v>0</v>
      </c>
    </row>
    <row r="20" spans="1:10" ht="13.5" thickTop="1" x14ac:dyDescent="0.2">
      <c r="A20" s="1036">
        <v>9</v>
      </c>
      <c r="B20" s="2344" t="s">
        <v>1703</v>
      </c>
      <c r="C20" s="2344"/>
      <c r="D20" s="2345"/>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0"/>
      <c r="D26" s="2350"/>
      <c r="E26" s="1051"/>
      <c r="F26" s="2349"/>
      <c r="G26" s="2349"/>
    </row>
    <row r="27" spans="1:10" x14ac:dyDescent="0.2">
      <c r="B27" s="1048"/>
      <c r="C27" s="1052" t="s">
        <v>1093</v>
      </c>
      <c r="D27" s="1053"/>
      <c r="E27" s="1054"/>
      <c r="F27" s="2346" t="s">
        <v>1589</v>
      </c>
      <c r="G27" s="2346"/>
    </row>
    <row r="28" spans="1:10" ht="28.5" customHeight="1" x14ac:dyDescent="0.2">
      <c r="B28" s="1048"/>
      <c r="C28" s="2348"/>
      <c r="D28" s="2348"/>
      <c r="E28" s="1055"/>
      <c r="F28" s="2348"/>
      <c r="G28" s="2348"/>
    </row>
    <row r="29" spans="1:10" x14ac:dyDescent="0.2">
      <c r="B29" s="1048"/>
      <c r="C29" s="1056" t="s">
        <v>1642</v>
      </c>
      <c r="E29" s="1057"/>
      <c r="F29" s="2347" t="s">
        <v>1590</v>
      </c>
      <c r="G29" s="2347"/>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9" t="s">
        <v>134</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3"/>
    </row>
    <row r="36" spans="1:10" ht="13.5" customHeight="1" x14ac:dyDescent="0.2">
      <c r="B36" s="1062"/>
      <c r="C36" s="2331" t="s">
        <v>1944</v>
      </c>
      <c r="D36" s="2330"/>
      <c r="E36" s="2330"/>
      <c r="F36" s="2330"/>
      <c r="G36" s="2330"/>
      <c r="H36" s="2330"/>
      <c r="I36" s="2330"/>
      <c r="J36" s="1064"/>
    </row>
    <row r="37" spans="1:10" ht="22.5" customHeight="1" x14ac:dyDescent="0.2">
      <c r="C37" s="2330"/>
      <c r="D37" s="2330"/>
      <c r="E37" s="2330"/>
      <c r="F37" s="2330"/>
      <c r="G37" s="2330"/>
      <c r="H37" s="2330"/>
      <c r="I37" s="2330"/>
      <c r="J37" s="1064"/>
    </row>
    <row r="38" spans="1:10" ht="7.5" customHeight="1" x14ac:dyDescent="0.2">
      <c r="C38" s="1063"/>
      <c r="D38" s="1065"/>
      <c r="E38" s="1066"/>
      <c r="F38" s="1067"/>
      <c r="G38" s="1066"/>
    </row>
    <row r="39" spans="1:10" ht="13.5" customHeight="1" x14ac:dyDescent="0.2">
      <c r="B39" s="1062"/>
      <c r="C39" s="2327" t="s">
        <v>937</v>
      </c>
      <c r="D39" s="2328"/>
      <c r="E39" s="2328"/>
      <c r="F39" s="2328"/>
      <c r="G39" s="2328"/>
      <c r="H39" s="2328"/>
      <c r="I39" s="232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Hope D Wall</v>
      </c>
    </row>
    <row r="65" spans="2:2" x14ac:dyDescent="0.2">
      <c r="B65" s="1071" t="str">
        <f>COVER!A13</f>
        <v>31-045-1290-61</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tabSelected="1"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1" t="s">
        <v>1784</v>
      </c>
      <c r="B18" s="2351"/>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1247775</xdr:colOff>
                <xdr:row>1</xdr:row>
                <xdr:rowOff>19050</xdr:rowOff>
              </from>
              <to>
                <xdr:col>1</xdr:col>
                <xdr:colOff>2162175</xdr:colOff>
                <xdr:row>5</xdr:row>
                <xdr:rowOff>57150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1790</v>
      </c>
      <c r="B1" s="2353"/>
      <c r="C1" s="2353"/>
      <c r="D1" s="2353"/>
      <c r="E1" s="2353"/>
      <c r="F1" s="2354"/>
    </row>
    <row r="2" spans="1:8" ht="45" customHeight="1" x14ac:dyDescent="0.2">
      <c r="A2" s="2362" t="s">
        <v>1791</v>
      </c>
      <c r="B2" s="2363"/>
      <c r="C2" s="2363"/>
      <c r="D2" s="2363"/>
      <c r="E2" s="2363"/>
      <c r="F2" s="2364"/>
      <c r="G2" s="1075"/>
      <c r="H2" s="1075"/>
    </row>
    <row r="3" spans="1:8" ht="57" customHeight="1" x14ac:dyDescent="0.2">
      <c r="A3" s="2365" t="s">
        <v>1786</v>
      </c>
      <c r="B3" s="2366"/>
      <c r="C3" s="2366"/>
      <c r="D3" s="2366"/>
      <c r="E3" s="2366"/>
      <c r="F3" s="2367"/>
      <c r="G3" s="1075"/>
      <c r="H3" s="1075"/>
    </row>
    <row r="4" spans="1:8" ht="14.25" customHeight="1" x14ac:dyDescent="0.2">
      <c r="A4" s="2371" t="s">
        <v>2056</v>
      </c>
      <c r="B4" s="2372"/>
      <c r="C4" s="2372"/>
      <c r="D4" s="2372"/>
      <c r="E4" s="2372"/>
      <c r="F4" s="2373"/>
      <c r="G4" s="1075"/>
      <c r="H4" s="1075"/>
    </row>
    <row r="5" spans="1:8" ht="14.25" customHeight="1" x14ac:dyDescent="0.2">
      <c r="A5" s="2374" t="s">
        <v>2057</v>
      </c>
      <c r="B5" s="2375"/>
      <c r="C5" s="2375"/>
      <c r="D5" s="2375"/>
      <c r="E5" s="2375"/>
      <c r="F5" s="2376"/>
      <c r="G5" s="1075"/>
      <c r="H5" s="1075"/>
    </row>
    <row r="6" spans="1:8" s="1076" customFormat="1" ht="41.25" customHeight="1" x14ac:dyDescent="0.2">
      <c r="A6" s="2368" t="s">
        <v>1792</v>
      </c>
      <c r="B6" s="2369"/>
      <c r="C6" s="2369"/>
      <c r="D6" s="2369"/>
      <c r="E6" s="2369"/>
      <c r="F6" s="2370"/>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5194277</v>
      </c>
      <c r="C8" s="1838">
        <f>'Acct Summary 7-8'!D8</f>
        <v>1000000</v>
      </c>
      <c r="D8" s="1838">
        <f>'Acct Summary 7-8'!F8</f>
        <v>0</v>
      </c>
      <c r="E8" s="1838">
        <f>'Acct Summary 7-8'!I8</f>
        <v>0</v>
      </c>
      <c r="F8" s="1838">
        <f>SUM(B8:E8)</f>
        <v>6194277</v>
      </c>
    </row>
    <row r="9" spans="1:8" s="1080" customFormat="1" ht="14.25" customHeight="1" thickBot="1" x14ac:dyDescent="0.25">
      <c r="A9" s="1079" t="s">
        <v>1436</v>
      </c>
      <c r="B9" s="1839">
        <f>'Acct Summary 7-8'!C17</f>
        <v>6746290</v>
      </c>
      <c r="C9" s="1839">
        <f>'Acct Summary 7-8'!D17</f>
        <v>307625</v>
      </c>
      <c r="D9" s="1839">
        <f>'Acct Summary 7-8'!F17</f>
        <v>0</v>
      </c>
      <c r="E9" s="1838"/>
      <c r="F9" s="1838">
        <f>SUM(B9:E9)</f>
        <v>7053915</v>
      </c>
    </row>
    <row r="10" spans="1:8" s="1080" customFormat="1" ht="14.25" thickTop="1" thickBot="1" x14ac:dyDescent="0.25">
      <c r="A10" s="1081" t="s">
        <v>1437</v>
      </c>
      <c r="B10" s="1840">
        <f>(B8-B9)</f>
        <v>-1552013</v>
      </c>
      <c r="C10" s="1840">
        <f>(C8-C9)</f>
        <v>692375</v>
      </c>
      <c r="D10" s="1840">
        <f>(D8-D9)</f>
        <v>0</v>
      </c>
      <c r="E10" s="1839">
        <f>(E8-E9)</f>
        <v>0</v>
      </c>
      <c r="F10" s="1841">
        <f>SUM(F8-F9)</f>
        <v>-859638</v>
      </c>
    </row>
    <row r="11" spans="1:8" s="1080" customFormat="1" ht="14.25" thickTop="1" thickBot="1" x14ac:dyDescent="0.25">
      <c r="A11" s="1082" t="s">
        <v>1785</v>
      </c>
      <c r="B11" s="1842">
        <f>'Acct Summary 7-8'!C81</f>
        <v>1620152</v>
      </c>
      <c r="C11" s="1842">
        <f>'Acct Summary 7-8'!D81</f>
        <v>-1913833</v>
      </c>
      <c r="D11" s="1842">
        <f>'Acct Summary 7-8'!F81</f>
        <v>0</v>
      </c>
      <c r="E11" s="1842">
        <f>'Acct Summary 7-8'!I81</f>
        <v>0</v>
      </c>
      <c r="F11" s="1843">
        <f>SUM(B11:E11)</f>
        <v>-293681</v>
      </c>
    </row>
    <row r="12" spans="1:8" ht="16.5" customHeight="1" thickTop="1" x14ac:dyDescent="0.2">
      <c r="A12" s="1083"/>
      <c r="B12" s="1084"/>
      <c r="C12" s="2356"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57"/>
      <c r="E12" s="2357"/>
      <c r="F12" s="2358"/>
    </row>
    <row r="13" spans="1:8" ht="19.5" customHeight="1" x14ac:dyDescent="0.2">
      <c r="A13" s="1085"/>
      <c r="B13" s="1086"/>
      <c r="C13" s="2356"/>
      <c r="D13" s="2357"/>
      <c r="E13" s="2357"/>
      <c r="F13" s="2358"/>
      <c r="H13" s="1075"/>
    </row>
    <row r="14" spans="1:8" ht="19.5" customHeight="1" x14ac:dyDescent="0.2">
      <c r="A14" s="1085"/>
      <c r="B14" s="1086"/>
      <c r="C14" s="2356"/>
      <c r="D14" s="2357"/>
      <c r="E14" s="2357"/>
      <c r="F14" s="2358"/>
      <c r="H14" s="1075"/>
    </row>
    <row r="15" spans="1:8" ht="17.25" customHeight="1" x14ac:dyDescent="0.2">
      <c r="A15" s="1085"/>
      <c r="B15" s="1086"/>
      <c r="C15" s="2359"/>
      <c r="D15" s="2360"/>
      <c r="E15" s="2360"/>
      <c r="F15" s="2361"/>
      <c r="H15" s="1075"/>
    </row>
    <row r="16" spans="1:8" s="310" customFormat="1" ht="51.75" hidden="1" customHeight="1" x14ac:dyDescent="0.2">
      <c r="A16" s="2355" t="s">
        <v>1787</v>
      </c>
      <c r="B16" s="2355"/>
      <c r="C16" s="2355"/>
      <c r="D16" s="2355"/>
      <c r="E16" s="2355"/>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4" colorId="8" zoomScale="110" zoomScaleNormal="110" workbookViewId="0">
      <selection activeCell="D57" sqref="D57"/>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7" t="s">
        <v>686</v>
      </c>
      <c r="B3" s="2378"/>
      <c r="C3" s="2378"/>
      <c r="D3" s="2379"/>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8" t="s">
        <v>1584</v>
      </c>
      <c r="D7" s="2389"/>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0" t="s">
        <v>1065</v>
      </c>
      <c r="B15" s="2381"/>
      <c r="C15" s="2381"/>
      <c r="D15" s="2382"/>
    </row>
    <row r="16" spans="1:4" s="669" customFormat="1" ht="24" customHeight="1" x14ac:dyDescent="0.2">
      <c r="A16" s="2383" t="s">
        <v>684</v>
      </c>
      <c r="B16" s="2384"/>
      <c r="C16" s="2384"/>
      <c r="D16" s="2385"/>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2" t="s">
        <v>332</v>
      </c>
      <c r="D21" s="2393"/>
    </row>
    <row r="22" spans="1:10" ht="12.75" x14ac:dyDescent="0.2">
      <c r="A22" s="1140"/>
      <c r="B22" s="1141">
        <v>2</v>
      </c>
      <c r="C22" s="2390" t="s">
        <v>1605</v>
      </c>
      <c r="D22" s="2391"/>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4" t="s">
        <v>557</v>
      </c>
      <c r="D43" s="2395"/>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6" t="s">
        <v>817</v>
      </c>
      <c r="D56" s="2387"/>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6" t="s">
        <v>1797</v>
      </c>
      <c r="D70" s="2387"/>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ENTRY IS REQUIRED!</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ENTRY REQUIRED!</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31-045-1290-61</v>
      </c>
    </row>
    <row r="3" spans="1:2" x14ac:dyDescent="0.2">
      <c r="A3" t="s">
        <v>1013</v>
      </c>
      <c r="B3" s="138" t="str">
        <f>COVER!A15</f>
        <v>Kane</v>
      </c>
    </row>
    <row r="4" spans="1:2" x14ac:dyDescent="0.2">
      <c r="A4" t="s">
        <v>1064</v>
      </c>
      <c r="B4" s="138" t="str">
        <f>COVER!A17</f>
        <v>Hope D Wall</v>
      </c>
    </row>
    <row r="5" spans="1:2" x14ac:dyDescent="0.2">
      <c r="A5" t="s">
        <v>728</v>
      </c>
      <c r="B5" s="138" t="str">
        <f>COVER!A38</f>
        <v>Dr. Jeff Craig</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066-004207</v>
      </c>
    </row>
    <row r="16" spans="1:2" x14ac:dyDescent="0.2">
      <c r="A16" t="s">
        <v>442</v>
      </c>
      <c r="B16" s="138" t="str">
        <f>COVER!T13</f>
        <v>Crowe LLP</v>
      </c>
    </row>
    <row r="17" spans="1:2" x14ac:dyDescent="0.2">
      <c r="A17" t="s">
        <v>939</v>
      </c>
      <c r="B17" s="138" t="str">
        <f>COVER!T15</f>
        <v>Christine Torres</v>
      </c>
    </row>
    <row r="18" spans="1:2" x14ac:dyDescent="0.2">
      <c r="A18" t="s">
        <v>1212</v>
      </c>
      <c r="B18" s="138" t="str">
        <f>COVER!T17</f>
        <v>One Mid America Plaza</v>
      </c>
    </row>
    <row r="19" spans="1:2" x14ac:dyDescent="0.2">
      <c r="A19" t="s">
        <v>941</v>
      </c>
      <c r="B19" s="138" t="str">
        <f>COVER!T25</f>
        <v>christine.torres@crowe.com</v>
      </c>
    </row>
    <row r="20" spans="1:2" x14ac:dyDescent="0.2">
      <c r="A20" t="s">
        <v>942</v>
      </c>
      <c r="B20" s="138" t="str">
        <f>COVER!T19</f>
        <v>Oak Brook</v>
      </c>
    </row>
    <row r="21" spans="1:2" x14ac:dyDescent="0.2">
      <c r="A21" t="s">
        <v>500</v>
      </c>
      <c r="B21" s="138" t="str">
        <f>COVER!X19</f>
        <v>IL</v>
      </c>
    </row>
    <row r="22" spans="1:2" x14ac:dyDescent="0.2">
      <c r="A22" t="s">
        <v>943</v>
      </c>
      <c r="B22" s="138">
        <f>COVER!Z19</f>
        <v>60522</v>
      </c>
    </row>
    <row r="23" spans="1:2" x14ac:dyDescent="0.2">
      <c r="A23" t="s">
        <v>1214</v>
      </c>
      <c r="B23" s="138" t="str">
        <f>COVER!T21</f>
        <v>630-706-2074</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4739564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147483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3119412</v>
      </c>
      <c r="C91" s="2" t="s">
        <v>594</v>
      </c>
      <c r="D91" s="2" t="str">
        <f t="shared" si="0"/>
        <v>Error?</v>
      </c>
    </row>
    <row r="92" spans="1:4" x14ac:dyDescent="0.2">
      <c r="A92" s="5">
        <v>31</v>
      </c>
      <c r="B92" s="138">
        <f>'Assets-Liab 5-6'!C39</f>
        <v>1620152</v>
      </c>
      <c r="D92" s="2" t="str">
        <f t="shared" si="0"/>
        <v>Error?</v>
      </c>
    </row>
    <row r="93" spans="1:4" x14ac:dyDescent="0.2">
      <c r="A93" s="5">
        <v>32</v>
      </c>
      <c r="B93" s="138">
        <f>'Assets-Liab 5-6'!C41</f>
        <v>4739564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1913833</v>
      </c>
      <c r="C122" s="2" t="s">
        <v>594</v>
      </c>
      <c r="D122" s="2" t="str">
        <f t="shared" si="0"/>
        <v>Error?</v>
      </c>
    </row>
    <row r="123" spans="1:4" x14ac:dyDescent="0.2">
      <c r="A123" s="5">
        <v>62</v>
      </c>
      <c r="B123" s="138">
        <f>'Assets-Liab 5-6'!D39</f>
        <v>-1913833</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327541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327541</v>
      </c>
      <c r="D189" s="2" t="str">
        <f t="shared" si="1"/>
        <v>Error?</v>
      </c>
    </row>
    <row r="190" spans="1:4" x14ac:dyDescent="0.2">
      <c r="A190" s="5">
        <v>129</v>
      </c>
      <c r="B190" s="138">
        <f>'Assets-Liab 5-6'!G41</f>
        <v>327541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594</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22441</v>
      </c>
      <c r="D717" s="2" t="str">
        <f t="shared" si="10"/>
        <v>Error?</v>
      </c>
    </row>
    <row r="718" spans="1:4" x14ac:dyDescent="0.2">
      <c r="A718" s="5">
        <v>657</v>
      </c>
      <c r="B718" s="138">
        <f>'Expenditures 15-22'!C14</f>
        <v>27033</v>
      </c>
      <c r="D718" s="2" t="str">
        <f t="shared" si="10"/>
        <v>Error?</v>
      </c>
    </row>
    <row r="719" spans="1:4" x14ac:dyDescent="0.2">
      <c r="A719" s="5">
        <v>658</v>
      </c>
      <c r="B719" s="138">
        <f>'Expenditures 15-22'!C15</f>
        <v>68108</v>
      </c>
      <c r="D719" s="2" t="str">
        <f t="shared" si="10"/>
        <v>Error?</v>
      </c>
    </row>
    <row r="720" spans="1:4" x14ac:dyDescent="0.2">
      <c r="A720" s="5">
        <v>659</v>
      </c>
      <c r="B720" s="138">
        <f>'Expenditures 15-22'!C33</f>
        <v>3574252</v>
      </c>
      <c r="C720" s="2" t="s">
        <v>594</v>
      </c>
      <c r="D720" s="2" t="str">
        <f t="shared" si="10"/>
        <v>Error?</v>
      </c>
    </row>
    <row r="721" spans="1:4" x14ac:dyDescent="0.2">
      <c r="A721" s="5">
        <v>660</v>
      </c>
      <c r="B721" s="138">
        <f>'Expenditures 15-22'!C36</f>
        <v>169588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104489</v>
      </c>
      <c r="D723" s="2" t="str">
        <f t="shared" si="10"/>
        <v>Error?</v>
      </c>
    </row>
    <row r="724" spans="1:4" x14ac:dyDescent="0.2">
      <c r="A724" s="5">
        <v>663</v>
      </c>
      <c r="B724" s="138">
        <f>'Expenditures 15-22'!C39</f>
        <v>144028</v>
      </c>
      <c r="D724" s="2" t="str">
        <f t="shared" si="10"/>
        <v>Error?</v>
      </c>
    </row>
    <row r="725" spans="1:4" x14ac:dyDescent="0.2">
      <c r="A725" s="5">
        <v>664</v>
      </c>
      <c r="B725" s="138">
        <f>'Expenditures 15-22'!C40</f>
        <v>393195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811300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811300</v>
      </c>
      <c r="C755" s="2" t="s">
        <v>594</v>
      </c>
      <c r="D755" s="2" t="str">
        <f t="shared" si="10"/>
        <v>Error?</v>
      </c>
    </row>
    <row r="756" spans="1:4" x14ac:dyDescent="0.2">
      <c r="A756" s="5">
        <v>695</v>
      </c>
      <c r="B756" s="138">
        <f>'Expenditures 15-22'!C75</f>
        <v>1104</v>
      </c>
      <c r="D756" s="2" t="str">
        <f t="shared" si="10"/>
        <v>Error?</v>
      </c>
    </row>
    <row r="757" spans="1:4" x14ac:dyDescent="0.2">
      <c r="A757" s="5">
        <v>696</v>
      </c>
      <c r="B757" s="138">
        <f>'Expenditures 15-22'!C114</f>
        <v>4386656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13614</v>
      </c>
      <c r="D775" s="2" t="str">
        <f t="shared" si="11"/>
        <v>Error?</v>
      </c>
    </row>
    <row r="776" spans="1:4" x14ac:dyDescent="0.2">
      <c r="A776" s="5">
        <v>715</v>
      </c>
      <c r="B776" s="138">
        <f>'Expenditures 15-22'!D14</f>
        <v>3397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1054008</v>
      </c>
      <c r="C778" s="2" t="s">
        <v>594</v>
      </c>
      <c r="D778" s="2" t="str">
        <f t="shared" si="11"/>
        <v>Error?</v>
      </c>
    </row>
    <row r="779" spans="1:4" x14ac:dyDescent="0.2">
      <c r="A779" s="5">
        <v>718</v>
      </c>
      <c r="B779" s="138">
        <f>'Expenditures 15-22'!D36</f>
        <v>43735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22749</v>
      </c>
      <c r="D781" s="2" t="str">
        <f t="shared" si="11"/>
        <v>Error?</v>
      </c>
    </row>
    <row r="782" spans="1:4" x14ac:dyDescent="0.2">
      <c r="A782" s="5">
        <v>721</v>
      </c>
      <c r="B782" s="138">
        <f>'Expenditures 15-22'!D39</f>
        <v>40641</v>
      </c>
      <c r="D782" s="2" t="str">
        <f t="shared" si="11"/>
        <v>Error?</v>
      </c>
    </row>
    <row r="783" spans="1:4" x14ac:dyDescent="0.2">
      <c r="A783" s="5">
        <v>722</v>
      </c>
      <c r="B783" s="138">
        <f>'Expenditures 15-22'!D40</f>
        <v>94466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201591</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3325</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3325</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204916</v>
      </c>
      <c r="C813" s="2" t="s">
        <v>594</v>
      </c>
      <c r="D813" s="2" t="str">
        <f t="shared" si="11"/>
        <v>Error?</v>
      </c>
    </row>
    <row r="814" spans="1:4" x14ac:dyDescent="0.2">
      <c r="A814" s="5">
        <v>753</v>
      </c>
      <c r="B814" s="138">
        <f>'Expenditures 15-22'!D75</f>
        <v>302</v>
      </c>
      <c r="D814" s="2" t="str">
        <f t="shared" si="11"/>
        <v>Error?</v>
      </c>
    </row>
    <row r="815" spans="1:4" x14ac:dyDescent="0.2">
      <c r="A815" s="5">
        <v>754</v>
      </c>
      <c r="B815" s="138">
        <f>'Expenditures 15-22'!D114</f>
        <v>1259226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45279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46547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822834</v>
      </c>
      <c r="D842" s="2" t="str">
        <f t="shared" si="12"/>
        <v>Error?</v>
      </c>
    </row>
    <row r="843" spans="1:4" x14ac:dyDescent="0.2">
      <c r="A843" s="5">
        <v>782</v>
      </c>
      <c r="B843" s="138">
        <f>'Expenditures 15-22'!E42</f>
        <v>869381</v>
      </c>
      <c r="C843" s="2" t="s">
        <v>594</v>
      </c>
      <c r="D843" s="2" t="str">
        <f t="shared" si="12"/>
        <v>Error?</v>
      </c>
    </row>
    <row r="844" spans="1:4" x14ac:dyDescent="0.2">
      <c r="A844" s="5">
        <v>783</v>
      </c>
      <c r="B844" s="138">
        <f>'Expenditures 15-22'!E44</f>
        <v>471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471</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7603</v>
      </c>
      <c r="C850" s="2" t="s">
        <v>594</v>
      </c>
      <c r="D850" s="2" t="str">
        <f t="shared" si="12"/>
        <v>Error?</v>
      </c>
    </row>
    <row r="851" spans="1:4" x14ac:dyDescent="0.2">
      <c r="A851" s="5">
        <v>790</v>
      </c>
      <c r="B851" s="138">
        <f>'Expenditures 15-22'!E55</f>
        <v>845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845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20600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20600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898900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944179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137125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2250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238</v>
      </c>
      <c r="D904" s="2" t="str">
        <f t="shared" si="13"/>
        <v>Error?</v>
      </c>
    </row>
    <row r="905" spans="1:4" x14ac:dyDescent="0.2">
      <c r="A905" s="5">
        <v>844</v>
      </c>
      <c r="B905" s="138">
        <f>'Expenditures 15-22'!F47</f>
        <v>2488</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745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745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1601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1601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13059</v>
      </c>
      <c r="D925" s="2" t="str">
        <f t="shared" si="13"/>
        <v>Error?</v>
      </c>
    </row>
    <row r="926" spans="1:4" x14ac:dyDescent="0.2">
      <c r="A926" s="10">
        <v>865</v>
      </c>
      <c r="D926" s="2" t="str">
        <f t="shared" si="13"/>
        <v>OK</v>
      </c>
    </row>
    <row r="927" spans="1:4" x14ac:dyDescent="0.2">
      <c r="A927" s="5">
        <v>866</v>
      </c>
      <c r="B927" s="138">
        <f>'Expenditures 15-22'!F72</f>
        <v>13059</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17893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155018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1211</v>
      </c>
      <c r="D975" s="2" t="str">
        <f t="shared" si="14"/>
        <v>Error?</v>
      </c>
    </row>
    <row r="976" spans="1:4" x14ac:dyDescent="0.2">
      <c r="A976" s="10">
        <v>915</v>
      </c>
      <c r="D976" s="2" t="str">
        <f t="shared" si="14"/>
        <v>OK</v>
      </c>
    </row>
    <row r="977" spans="1:4" x14ac:dyDescent="0.2">
      <c r="A977" s="5">
        <v>916</v>
      </c>
      <c r="B977" s="138">
        <f>'Expenditures 15-22'!G65</f>
        <v>1211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1211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1211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36055</v>
      </c>
      <c r="C1105" s="2" t="s">
        <v>594</v>
      </c>
      <c r="D1105" s="2" t="str">
        <f t="shared" si="16"/>
        <v>Error?</v>
      </c>
    </row>
    <row r="1106" spans="1:4" x14ac:dyDescent="0.2">
      <c r="A1106" s="5">
        <v>1045</v>
      </c>
      <c r="B1106" s="138">
        <f>'Expenditures 15-22'!K14</f>
        <v>30430</v>
      </c>
      <c r="C1106" s="2" t="s">
        <v>594</v>
      </c>
      <c r="D1106" s="2" t="str">
        <f t="shared" si="16"/>
        <v>Error?</v>
      </c>
    </row>
    <row r="1107" spans="1:4" x14ac:dyDescent="0.2">
      <c r="A1107" s="5">
        <v>1046</v>
      </c>
      <c r="B1107" s="138">
        <f>'Expenditures 15-22'!K15</f>
        <v>68108</v>
      </c>
      <c r="C1107" s="2" t="s">
        <v>594</v>
      </c>
      <c r="D1107" s="2" t="str">
        <f t="shared" si="16"/>
        <v>Error?</v>
      </c>
    </row>
    <row r="1108" spans="1:4" x14ac:dyDescent="0.2">
      <c r="A1108" s="5">
        <v>1047</v>
      </c>
      <c r="B1108" s="138">
        <f>'Expenditures 15-22'!K33</f>
        <v>4810664</v>
      </c>
      <c r="C1108" s="2" t="s">
        <v>594</v>
      </c>
      <c r="D1108" s="2" t="str">
        <f t="shared" si="16"/>
        <v>Error?</v>
      </c>
    </row>
    <row r="1109" spans="1:4" x14ac:dyDescent="0.2">
      <c r="A1109" s="5">
        <v>1048</v>
      </c>
      <c r="B1109" s="138">
        <f>'Expenditures 15-22'!K36</f>
        <v>213323</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173785</v>
      </c>
      <c r="C1111" s="2" t="s">
        <v>594</v>
      </c>
      <c r="D1111" s="2" t="str">
        <f t="shared" si="16"/>
        <v>Error?</v>
      </c>
    </row>
    <row r="1112" spans="1:4" x14ac:dyDescent="0.2">
      <c r="A1112" s="5">
        <v>1051</v>
      </c>
      <c r="B1112" s="138">
        <f>'Expenditures 15-22'!K39</f>
        <v>184669</v>
      </c>
      <c r="C1112" s="2" t="s">
        <v>594</v>
      </c>
      <c r="D1112" s="2" t="str">
        <f t="shared" si="16"/>
        <v>Error?</v>
      </c>
    </row>
    <row r="1113" spans="1:4" x14ac:dyDescent="0.2">
      <c r="A1113" s="5">
        <v>1052</v>
      </c>
      <c r="B1113" s="138">
        <f>'Expenditures 15-22'!K40</f>
        <v>487661</v>
      </c>
      <c r="C1113" s="2" t="s">
        <v>594</v>
      </c>
      <c r="D1113" s="2" t="str">
        <f t="shared" si="16"/>
        <v>Error?</v>
      </c>
    </row>
    <row r="1114" spans="1:4" x14ac:dyDescent="0.2">
      <c r="A1114" s="5">
        <v>1053</v>
      </c>
      <c r="B1114" s="138">
        <f>'Expenditures 15-22'!K41</f>
        <v>822834</v>
      </c>
      <c r="C1114" s="2" t="s">
        <v>594</v>
      </c>
      <c r="D1114" s="2" t="str">
        <f t="shared" si="16"/>
        <v>Error?</v>
      </c>
    </row>
    <row r="1115" spans="1:4" x14ac:dyDescent="0.2">
      <c r="A1115" s="5">
        <v>1054</v>
      </c>
      <c r="B1115" s="138">
        <f>'Expenditures 15-22'!K42</f>
        <v>1882272</v>
      </c>
      <c r="C1115" s="2" t="s">
        <v>594</v>
      </c>
      <c r="D1115" s="2" t="str">
        <f t="shared" si="16"/>
        <v>Error?</v>
      </c>
    </row>
    <row r="1116" spans="1:4" x14ac:dyDescent="0.2">
      <c r="A1116" s="5">
        <v>1055</v>
      </c>
      <c r="B1116" s="138">
        <f>'Expenditures 15-22'!K44</f>
        <v>2721</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238</v>
      </c>
      <c r="C1118" s="2" t="s">
        <v>594</v>
      </c>
      <c r="D1118" s="2" t="str">
        <f t="shared" si="16"/>
        <v>Error?</v>
      </c>
    </row>
    <row r="1119" spans="1:4" x14ac:dyDescent="0.2">
      <c r="A1119" s="5">
        <v>1058</v>
      </c>
      <c r="B1119" s="138">
        <f>'Expenditures 15-22'!K47</f>
        <v>2959</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7603</v>
      </c>
      <c r="C1122" s="2" t="s">
        <v>594</v>
      </c>
      <c r="D1122" s="2" t="str">
        <f t="shared" si="16"/>
        <v>Error?</v>
      </c>
    </row>
    <row r="1123" spans="1:4" x14ac:dyDescent="0.2">
      <c r="A1123" s="5">
        <v>1062</v>
      </c>
      <c r="B1123" s="138">
        <f>'Expenditures 15-22'!K55</f>
        <v>1590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1590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20600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1601</v>
      </c>
      <c r="C1130" s="2" t="s">
        <v>594</v>
      </c>
      <c r="D1130" s="2" t="str">
        <f t="shared" si="16"/>
        <v>Error?</v>
      </c>
    </row>
    <row r="1131" spans="1:4" x14ac:dyDescent="0.2">
      <c r="A1131" s="5">
        <v>1070</v>
      </c>
      <c r="B1131" s="138">
        <f>'Expenditures 15-22'!K64</f>
        <v>1211</v>
      </c>
      <c r="C1131" s="2" t="s">
        <v>594</v>
      </c>
      <c r="D1131" s="2" t="str">
        <f t="shared" si="16"/>
        <v>Error?</v>
      </c>
    </row>
    <row r="1132" spans="1:4" x14ac:dyDescent="0.2">
      <c r="A1132" s="10">
        <v>1071</v>
      </c>
      <c r="D1132" s="2" t="str">
        <f t="shared" si="16"/>
        <v>OK</v>
      </c>
    </row>
    <row r="1133" spans="1:4" x14ac:dyDescent="0.2">
      <c r="A1133" s="5">
        <v>1072</v>
      </c>
      <c r="B1133" s="138">
        <f>'Expenditures 15-22'!K65</f>
        <v>23412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3325</v>
      </c>
      <c r="C1137" s="2" t="s">
        <v>594</v>
      </c>
      <c r="D1137" s="2" t="str">
        <f t="shared" si="16"/>
        <v>Error?</v>
      </c>
    </row>
    <row r="1138" spans="1:4" x14ac:dyDescent="0.2">
      <c r="A1138" s="10">
        <v>1077</v>
      </c>
      <c r="D1138" s="2" t="str">
        <f t="shared" si="16"/>
        <v>OK</v>
      </c>
    </row>
    <row r="1139" spans="1:4" x14ac:dyDescent="0.2">
      <c r="A1139" s="5">
        <v>1078</v>
      </c>
      <c r="B1139" s="138">
        <f>'Expenditures 15-22'!K71</f>
        <v>13059</v>
      </c>
      <c r="C1139" s="2" t="s">
        <v>594</v>
      </c>
      <c r="D1139" s="2" t="str">
        <f t="shared" si="16"/>
        <v>Error?</v>
      </c>
    </row>
    <row r="1140" spans="1:4" x14ac:dyDescent="0.2">
      <c r="A1140" s="10">
        <v>1079</v>
      </c>
      <c r="D1140" s="2" t="str">
        <f t="shared" si="16"/>
        <v>OK</v>
      </c>
    </row>
    <row r="1141" spans="1:4" x14ac:dyDescent="0.2">
      <c r="A1141" s="5">
        <v>1080</v>
      </c>
      <c r="B1141" s="138">
        <f>'Expenditures 15-22'!K72</f>
        <v>16384</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1934220</v>
      </c>
      <c r="C1143" s="2" t="s">
        <v>594</v>
      </c>
      <c r="D1143" s="2" t="str">
        <f t="shared" si="16"/>
        <v>Error?</v>
      </c>
    </row>
    <row r="1144" spans="1:4" x14ac:dyDescent="0.2">
      <c r="A1144" s="5">
        <v>1083</v>
      </c>
      <c r="B1144" s="138">
        <f>'Expenditures 15-22'!K75</f>
        <v>1406</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6746290</v>
      </c>
      <c r="C1152" s="2" t="s">
        <v>594</v>
      </c>
      <c r="D1152" s="2" t="str">
        <f t="shared" si="17"/>
        <v>Error?</v>
      </c>
    </row>
    <row r="1153" spans="1:4" x14ac:dyDescent="0.2">
      <c r="A1153" s="5">
        <v>1092</v>
      </c>
      <c r="B1153" s="138">
        <f>'Expenditures 15-22'!K115</f>
        <v>-1552013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101324</v>
      </c>
      <c r="D1221" s="2" t="str">
        <f t="shared" si="18"/>
        <v>Error?</v>
      </c>
    </row>
    <row r="1222" spans="1:4" x14ac:dyDescent="0.2">
      <c r="A1222" s="10">
        <v>1161</v>
      </c>
      <c r="D1222" s="2" t="str">
        <f t="shared" si="18"/>
        <v>OK</v>
      </c>
    </row>
    <row r="1223" spans="1:4" x14ac:dyDescent="0.2">
      <c r="A1223" s="5">
        <v>1162</v>
      </c>
      <c r="B1223" s="138">
        <f>'Expenditures 15-22'!C127</f>
        <v>101324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101324</v>
      </c>
      <c r="C1225" s="2" t="s">
        <v>594</v>
      </c>
      <c r="D1225" s="2" t="str">
        <f t="shared" si="18"/>
        <v>Error?</v>
      </c>
    </row>
    <row r="1226" spans="1:4" x14ac:dyDescent="0.2">
      <c r="A1226" s="5">
        <v>1165</v>
      </c>
      <c r="B1226" s="138">
        <f>'Expenditures 15-22'!C151</f>
        <v>101324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26461</v>
      </c>
      <c r="D1229" s="2" t="str">
        <f t="shared" si="18"/>
        <v>Error?</v>
      </c>
    </row>
    <row r="1230" spans="1:4" x14ac:dyDescent="0.2">
      <c r="A1230" s="10">
        <v>1169</v>
      </c>
      <c r="D1230" s="2" t="str">
        <f t="shared" si="18"/>
        <v>OK</v>
      </c>
    </row>
    <row r="1231" spans="1:4" x14ac:dyDescent="0.2">
      <c r="A1231" s="5">
        <v>1170</v>
      </c>
      <c r="B1231" s="138">
        <f>'Expenditures 15-22'!D127</f>
        <v>26461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26461</v>
      </c>
      <c r="C1233" s="2" t="s">
        <v>594</v>
      </c>
      <c r="D1233" s="2" t="str">
        <f t="shared" si="18"/>
        <v>Error?</v>
      </c>
    </row>
    <row r="1234" spans="1:4" x14ac:dyDescent="0.2">
      <c r="A1234" s="5">
        <v>1173</v>
      </c>
      <c r="B1234" s="138">
        <f>'Expenditures 15-22'!D151</f>
        <v>26461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69806</v>
      </c>
      <c r="D1237" s="2" t="str">
        <f t="shared" si="18"/>
        <v>Error?</v>
      </c>
    </row>
    <row r="1238" spans="1:4" x14ac:dyDescent="0.2">
      <c r="A1238" s="10">
        <v>1177</v>
      </c>
      <c r="D1238" s="2" t="str">
        <f t="shared" si="18"/>
        <v>OK</v>
      </c>
    </row>
    <row r="1239" spans="1:4" x14ac:dyDescent="0.2">
      <c r="A1239" s="5">
        <v>1178</v>
      </c>
      <c r="B1239" s="138">
        <f>'Expenditures 15-22'!E127</f>
        <v>69806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69806</v>
      </c>
      <c r="C1241" s="2" t="s">
        <v>594</v>
      </c>
      <c r="D1241" s="2" t="str">
        <f t="shared" si="18"/>
        <v>Error?</v>
      </c>
    </row>
    <row r="1242" spans="1:4" x14ac:dyDescent="0.2">
      <c r="A1242" s="5">
        <v>1181</v>
      </c>
      <c r="B1242" s="138">
        <f>'Expenditures 15-22'!E151</f>
        <v>69806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110034</v>
      </c>
      <c r="D1245" s="2" t="str">
        <f t="shared" si="18"/>
        <v>Error?</v>
      </c>
    </row>
    <row r="1246" spans="1:4" x14ac:dyDescent="0.2">
      <c r="A1246" s="10">
        <v>1185</v>
      </c>
      <c r="D1246" s="2" t="str">
        <f t="shared" si="18"/>
        <v>OK</v>
      </c>
    </row>
    <row r="1247" spans="1:4" x14ac:dyDescent="0.2">
      <c r="A1247" s="5">
        <v>1186</v>
      </c>
      <c r="B1247" s="138">
        <f>'Expenditures 15-22'!F127</f>
        <v>110034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110034</v>
      </c>
      <c r="C1249" s="2" t="s">
        <v>594</v>
      </c>
      <c r="D1249" s="2" t="str">
        <f t="shared" si="18"/>
        <v>Error?</v>
      </c>
    </row>
    <row r="1250" spans="1:4" x14ac:dyDescent="0.2">
      <c r="A1250" s="5">
        <v>1189</v>
      </c>
      <c r="B1250" s="138">
        <f>'Expenditures 15-22'!F151</f>
        <v>110034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307625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307625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307625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307625</v>
      </c>
      <c r="C1288" s="2" t="s">
        <v>594</v>
      </c>
      <c r="D1288" s="2" t="str">
        <f t="shared" si="19"/>
        <v>Error?</v>
      </c>
    </row>
    <row r="1289" spans="1:4" x14ac:dyDescent="0.2">
      <c r="A1289" s="5">
        <v>1228</v>
      </c>
      <c r="B1289" s="138">
        <f>'Expenditures 15-22'!K152</f>
        <v>692375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2464</v>
      </c>
      <c r="D1407" s="2" t="str">
        <f t="shared" ref="D1407:D1470" si="21">IF(ISBLANK(B1407),"OK",IF(A1407-B1407=0,"OK","Error?"))</f>
        <v>Error?</v>
      </c>
    </row>
    <row r="1408" spans="1:4" x14ac:dyDescent="0.2">
      <c r="A1408" s="5">
        <v>1347</v>
      </c>
      <c r="B1408" s="138">
        <f>'Expenditures 15-22'!D223</f>
        <v>81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127085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2163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2163</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11114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11114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13277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140362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2464</v>
      </c>
      <c r="C1471" s="2" t="s">
        <v>594</v>
      </c>
      <c r="D1471" s="2" t="str">
        <f t="shared" ref="D1471:D1534" si="22">IF(ISBLANK(B1471),"OK",IF(A1471-B1471=0,"OK","Error?"))</f>
        <v>Error?</v>
      </c>
    </row>
    <row r="1472" spans="1:4" x14ac:dyDescent="0.2">
      <c r="A1472" s="5">
        <v>1411</v>
      </c>
      <c r="B1472" s="138">
        <f>'Expenditures 15-22'!K223</f>
        <v>81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127085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2163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2163</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11114</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11114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13277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140362</v>
      </c>
      <c r="C1517" s="2" t="s">
        <v>594</v>
      </c>
      <c r="D1517" s="2" t="str">
        <f t="shared" si="22"/>
        <v>Error?</v>
      </c>
    </row>
    <row r="1518" spans="1:4" x14ac:dyDescent="0.2">
      <c r="A1518" s="5">
        <v>1457</v>
      </c>
      <c r="B1518" s="138">
        <f>'Expenditures 15-22'!K296</f>
        <v>859638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3172165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1620152</v>
      </c>
      <c r="C1630" s="2" t="s">
        <v>594</v>
      </c>
      <c r="D1630" s="2" t="str">
        <f t="shared" si="24"/>
        <v>Error?</v>
      </c>
    </row>
    <row r="1631" spans="1:4" x14ac:dyDescent="0.2">
      <c r="A1631" s="5">
        <v>1570</v>
      </c>
      <c r="B1631" s="138">
        <f>'Acct Summary 7-8'!D79</f>
        <v>-2606208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-1913833</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-532097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327541</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0</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0</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4911170</v>
      </c>
      <c r="C2551" s="2" t="s">
        <v>594</v>
      </c>
      <c r="D2551" s="2" t="str">
        <f t="shared" si="38"/>
        <v>Error?</v>
      </c>
    </row>
    <row r="2552" spans="1:4" x14ac:dyDescent="0.2">
      <c r="A2552" s="10">
        <v>2491</v>
      </c>
      <c r="D2552" s="2" t="str">
        <f t="shared" si="38"/>
        <v>OK</v>
      </c>
    </row>
    <row r="2553" spans="1:4" x14ac:dyDescent="0.2">
      <c r="A2553" s="5">
        <v>2492</v>
      </c>
      <c r="B2553" s="138">
        <f>'Acct Summary 7-8'!C6</f>
        <v>133061</v>
      </c>
      <c r="C2553" s="2" t="s">
        <v>594</v>
      </c>
      <c r="D2553" s="2" t="str">
        <f t="shared" si="38"/>
        <v>Error?</v>
      </c>
    </row>
    <row r="2554" spans="1:4" x14ac:dyDescent="0.2">
      <c r="A2554" s="5">
        <v>2493</v>
      </c>
      <c r="B2554" s="138">
        <f>'Acct Summary 7-8'!C7</f>
        <v>150046</v>
      </c>
      <c r="C2554" s="2" t="s">
        <v>594</v>
      </c>
      <c r="D2554" s="2" t="str">
        <f t="shared" si="38"/>
        <v>Error?</v>
      </c>
    </row>
    <row r="2555" spans="1:4" x14ac:dyDescent="0.2">
      <c r="A2555" s="5">
        <v>2494</v>
      </c>
      <c r="B2555" s="138">
        <f>'Acct Summary 7-8'!C8</f>
        <v>5194277</v>
      </c>
      <c r="C2555" s="2" t="s">
        <v>594</v>
      </c>
      <c r="D2555" s="2" t="str">
        <f t="shared" si="38"/>
        <v>Error?</v>
      </c>
    </row>
    <row r="2556" spans="1:4" x14ac:dyDescent="0.2">
      <c r="A2556" s="5">
        <v>2495</v>
      </c>
      <c r="B2556" s="138">
        <f>'Acct Summary 7-8'!C12</f>
        <v>4810664</v>
      </c>
      <c r="C2556" s="2" t="s">
        <v>594</v>
      </c>
      <c r="D2556" s="2" t="str">
        <f t="shared" si="38"/>
        <v>Error?</v>
      </c>
    </row>
    <row r="2557" spans="1:4" x14ac:dyDescent="0.2">
      <c r="A2557" s="5">
        <v>2496</v>
      </c>
      <c r="B2557" s="138">
        <f>'Acct Summary 7-8'!C13</f>
        <v>1934220</v>
      </c>
      <c r="C2557" s="2" t="s">
        <v>594</v>
      </c>
      <c r="D2557" s="2" t="str">
        <f t="shared" si="38"/>
        <v>Error?</v>
      </c>
    </row>
    <row r="2558" spans="1:4" x14ac:dyDescent="0.2">
      <c r="A2558" s="5">
        <v>2497</v>
      </c>
      <c r="B2558" s="138">
        <f>'Acct Summary 7-8'!C14</f>
        <v>1406</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6746290</v>
      </c>
      <c r="C2561" s="2" t="s">
        <v>594</v>
      </c>
      <c r="D2561" s="2" t="str">
        <f t="shared" si="39"/>
        <v>Error?</v>
      </c>
    </row>
    <row r="2562" spans="1:4" x14ac:dyDescent="0.2">
      <c r="A2562" s="5">
        <v>2501</v>
      </c>
      <c r="B2562" s="138">
        <f>'Acct Summary 7-8'!C20</f>
        <v>-1552013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1000000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1000000</v>
      </c>
      <c r="C2568" s="2" t="s">
        <v>594</v>
      </c>
      <c r="D2568" s="2" t="str">
        <f t="shared" si="39"/>
        <v>Error?</v>
      </c>
    </row>
    <row r="2569" spans="1:4" x14ac:dyDescent="0.2">
      <c r="A2569" s="5">
        <v>2508</v>
      </c>
      <c r="B2569" s="138">
        <f>'Acct Summary 7-8'!D13</f>
        <v>307625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307625</v>
      </c>
      <c r="C2573" s="2" t="s">
        <v>594</v>
      </c>
      <c r="D2573" s="2" t="str">
        <f t="shared" si="39"/>
        <v>Error?</v>
      </c>
    </row>
    <row r="2574" spans="1:4" x14ac:dyDescent="0.2">
      <c r="A2574" s="5">
        <v>2513</v>
      </c>
      <c r="B2574" s="138">
        <f>'Acct Summary 7-8'!D20</f>
        <v>692375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1000000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1000000</v>
      </c>
      <c r="C2606" s="2" t="s">
        <v>594</v>
      </c>
      <c r="D2606" s="2" t="str">
        <f t="shared" si="39"/>
        <v>Error?</v>
      </c>
    </row>
    <row r="2607" spans="1:4" x14ac:dyDescent="0.2">
      <c r="A2607" s="5">
        <v>2546</v>
      </c>
      <c r="B2607" s="138">
        <f>'Acct Summary 7-8'!G12</f>
        <v>127085</v>
      </c>
      <c r="C2607" s="2" t="s">
        <v>594</v>
      </c>
      <c r="D2607" s="2" t="str">
        <f t="shared" si="39"/>
        <v>Error?</v>
      </c>
    </row>
    <row r="2608" spans="1:4" x14ac:dyDescent="0.2">
      <c r="A2608" s="5">
        <v>2547</v>
      </c>
      <c r="B2608" s="138">
        <f>'Acct Summary 7-8'!G13</f>
        <v>13277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140362</v>
      </c>
      <c r="C2612" s="2" t="s">
        <v>594</v>
      </c>
      <c r="D2612" s="2" t="str">
        <f t="shared" si="39"/>
        <v>Error?</v>
      </c>
    </row>
    <row r="2613" spans="1:4" x14ac:dyDescent="0.2">
      <c r="A2613" s="5">
        <v>2552</v>
      </c>
      <c r="B2613" s="138">
        <f>'Acct Summary 7-8'!G20</f>
        <v>859638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-1552013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692375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859638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3456670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1036997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45279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137125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4676071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124540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124540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327541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5194277</v>
      </c>
      <c r="C4122" s="2" t="s">
        <v>594</v>
      </c>
      <c r="D4122" s="2" t="str">
        <f t="shared" si="63"/>
        <v>Error?</v>
      </c>
    </row>
    <row r="4123" spans="1:4" x14ac:dyDescent="0.2">
      <c r="A4123" s="5">
        <v>4062</v>
      </c>
      <c r="B4123" s="138">
        <f>'Acct Summary 7-8'!D10</f>
        <v>1000000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1000000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6746290</v>
      </c>
      <c r="C4136" s="2" t="s">
        <v>594</v>
      </c>
      <c r="D4136" s="2" t="str">
        <f t="shared" si="63"/>
        <v>Error?</v>
      </c>
    </row>
    <row r="4137" spans="1:4" x14ac:dyDescent="0.2">
      <c r="A4137" s="5">
        <v>4076</v>
      </c>
      <c r="B4137" s="138">
        <f>'Acct Summary 7-8'!D19</f>
        <v>307625</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140362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-293681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95105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4910222</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4910222</v>
      </c>
      <c r="C5087" s="2" t="s">
        <v>594</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948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948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594</v>
      </c>
      <c r="D5120" s="2" t="str">
        <f t="shared" si="79"/>
        <v>Error?</v>
      </c>
    </row>
    <row r="5121" spans="1:4" x14ac:dyDescent="0.2">
      <c r="A5121" s="5">
        <v>5060</v>
      </c>
      <c r="B5121" s="138">
        <f>'Revenues 9-14'!C109</f>
        <v>4911170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133061</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133061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133061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133061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54941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54941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150046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150046</v>
      </c>
      <c r="C5326" s="2" t="s">
        <v>594</v>
      </c>
      <c r="D5326" s="2" t="str">
        <f t="shared" si="82"/>
        <v>Error?</v>
      </c>
    </row>
    <row r="5327" spans="1:4" x14ac:dyDescent="0.2">
      <c r="A5327" s="5">
        <v>5266</v>
      </c>
      <c r="B5327" s="138">
        <f>'Revenues 9-14'!C275</f>
        <v>5194277</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1000000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1000000</v>
      </c>
      <c r="C5355" s="2" t="s">
        <v>594</v>
      </c>
      <c r="D5355" s="2" t="str">
        <f t="shared" si="82"/>
        <v>Error?</v>
      </c>
    </row>
    <row r="5356" spans="1:4" x14ac:dyDescent="0.2">
      <c r="A5356" s="5">
        <v>5295</v>
      </c>
      <c r="B5356" s="138">
        <f>'Revenues 9-14'!D109</f>
        <v>1000000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1000000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1000000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1000000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1000000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1883503</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2856061</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1883503</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1219</v>
      </c>
      <c r="D6133" s="2" t="str">
        <f t="shared" si="94"/>
        <v>Error?</v>
      </c>
      <c r="E6133" s="2" t="s">
        <v>199</v>
      </c>
    </row>
    <row r="6134" spans="1:5" x14ac:dyDescent="0.2">
      <c r="A6134">
        <v>6073</v>
      </c>
      <c r="B6134" s="138">
        <f>'Assets-Liab 5-6'!D26</f>
        <v>29382</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2291309</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679401</v>
      </c>
      <c r="D6169" s="2" t="str">
        <f t="shared" si="95"/>
        <v>Error?</v>
      </c>
      <c r="E6169" s="2" t="s">
        <v>199</v>
      </c>
    </row>
    <row r="6170" spans="1:5" x14ac:dyDescent="0.2">
      <c r="A6170">
        <v>6109</v>
      </c>
      <c r="B6170" s="138">
        <f>'Assets-Liab 5-6'!D30</f>
        <v>948</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-1552013</v>
      </c>
      <c r="D6267" s="2" t="str">
        <f t="shared" si="96"/>
        <v>Error?</v>
      </c>
      <c r="E6267" s="2" t="s">
        <v>199</v>
      </c>
    </row>
    <row r="6268" spans="1:5" x14ac:dyDescent="0.2">
      <c r="A6268">
        <v>6207</v>
      </c>
      <c r="B6268" s="138">
        <f>'Acct Summary 7-8'!D82</f>
        <v>692375</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859638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-0.95794283499325994</v>
      </c>
      <c r="D6276" s="2" t="str">
        <f t="shared" si="97"/>
        <v>Error?</v>
      </c>
      <c r="E6276" s="2" t="s">
        <v>199</v>
      </c>
    </row>
    <row r="6277" spans="1:5" x14ac:dyDescent="0.2">
      <c r="A6277">
        <v>6216</v>
      </c>
      <c r="B6277" s="138">
        <f>'Acct Summary 7-8'!D83</f>
        <v>-0.36177398968457541</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f>'Acct Summary 7-8'!G83</f>
        <v>2.6245202890630486</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1000000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7603</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7603</v>
      </c>
      <c r="D6940" s="2" t="str">
        <f t="shared" si="107"/>
        <v>Error?</v>
      </c>
    </row>
    <row r="6941" spans="1:4" x14ac:dyDescent="0.2">
      <c r="A6941">
        <v>6880</v>
      </c>
      <c r="B6941" s="138">
        <f>'Expenditures 15-22'!L52</f>
        <v>40000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9" t="s">
        <v>1253</v>
      </c>
      <c r="B2" s="2419"/>
      <c r="C2" s="2419"/>
      <c r="D2" s="2419"/>
      <c r="E2" s="2419"/>
      <c r="F2" s="2419"/>
      <c r="G2" s="2419"/>
      <c r="H2" s="2419"/>
      <c r="I2" s="2419"/>
      <c r="J2" s="2419"/>
      <c r="K2" s="2419"/>
      <c r="L2" s="2419"/>
    </row>
    <row r="3" spans="1:29" ht="13.5" customHeight="1" x14ac:dyDescent="0.2">
      <c r="A3" s="2405" t="s">
        <v>1252</v>
      </c>
      <c r="B3" s="2405"/>
      <c r="C3" s="2405"/>
      <c r="D3" s="2405"/>
      <c r="E3" s="2405"/>
      <c r="F3" s="2405"/>
      <c r="G3" s="2405"/>
      <c r="H3" s="2405"/>
      <c r="I3" s="2405"/>
      <c r="J3" s="2405"/>
      <c r="K3" s="2405"/>
      <c r="L3" s="2405"/>
    </row>
    <row r="4" spans="1:29" ht="13.5" customHeight="1" x14ac:dyDescent="0.2">
      <c r="A4" s="2419" t="s">
        <v>1799</v>
      </c>
      <c r="B4" s="2436"/>
      <c r="C4" s="2436"/>
      <c r="D4" s="2436"/>
      <c r="E4" s="2436"/>
      <c r="F4" s="2436"/>
      <c r="G4" s="2436"/>
      <c r="H4" s="2436"/>
      <c r="I4" s="2436"/>
      <c r="J4" s="2436"/>
      <c r="K4" s="2436"/>
      <c r="L4" s="243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9" t="str">
        <f>COVER!A17</f>
        <v>Hope D Wall</v>
      </c>
      <c r="B7" s="2400"/>
      <c r="C7" s="2400"/>
      <c r="D7" s="2437"/>
      <c r="E7" s="2438" t="str">
        <f>COVER!A13</f>
        <v>31-045-1290-61</v>
      </c>
      <c r="F7" s="2439"/>
      <c r="G7" s="2406" t="str">
        <f>COVER!T23</f>
        <v>066-004207</v>
      </c>
      <c r="H7" s="2407"/>
      <c r="I7" s="2407"/>
      <c r="J7" s="2407"/>
      <c r="K7" s="2407"/>
      <c r="L7" s="2408"/>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09"/>
      <c r="B9" s="2410"/>
      <c r="C9" s="2410"/>
      <c r="D9" s="2410"/>
      <c r="E9" s="2410"/>
      <c r="F9" s="2411"/>
      <c r="G9" s="2412" t="str">
        <f>COVER!T13</f>
        <v>Crowe LLP</v>
      </c>
      <c r="H9" s="2413"/>
      <c r="I9" s="2413"/>
      <c r="J9" s="2413"/>
      <c r="K9" s="2413"/>
      <c r="L9" s="2414"/>
    </row>
    <row r="10" spans="1:29" ht="13.5" customHeight="1" x14ac:dyDescent="0.2">
      <c r="A10" s="2396" t="str">
        <f>COVER!A38</f>
        <v>Dr. Jeff Craig</v>
      </c>
      <c r="B10" s="2397"/>
      <c r="C10" s="2397"/>
      <c r="D10" s="2397"/>
      <c r="E10" s="2397"/>
      <c r="F10" s="2398"/>
      <c r="G10" s="2412" t="str">
        <f>COVER!T17</f>
        <v>One Mid America Plaza</v>
      </c>
      <c r="H10" s="2425"/>
      <c r="I10" s="2425"/>
      <c r="J10" s="2425"/>
      <c r="K10" s="2425"/>
      <c r="L10" s="2426"/>
    </row>
    <row r="11" spans="1:29" ht="13.5" customHeight="1" x14ac:dyDescent="0.2">
      <c r="A11" s="1185" t="s">
        <v>1599</v>
      </c>
      <c r="B11" s="1186"/>
      <c r="C11" s="1187"/>
      <c r="D11" s="1192"/>
      <c r="E11" s="1187"/>
      <c r="F11" s="1191"/>
      <c r="G11" s="2412" t="str">
        <f>COVER!T19</f>
        <v>Oak Brook</v>
      </c>
      <c r="H11" s="2425"/>
      <c r="I11" s="2425"/>
      <c r="J11" s="2425"/>
      <c r="K11" s="2425"/>
      <c r="L11" s="2426"/>
    </row>
    <row r="12" spans="1:29" ht="13.5" customHeight="1" x14ac:dyDescent="0.2">
      <c r="A12" s="2430" t="s">
        <v>1598</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1600</v>
      </c>
      <c r="H13" s="2421"/>
      <c r="I13" s="2433" t="str">
        <f>COVER!T25</f>
        <v>christine.torres@crowe.com</v>
      </c>
      <c r="J13" s="2434"/>
      <c r="K13" s="2434"/>
      <c r="L13" s="2435"/>
    </row>
    <row r="14" spans="1:29" ht="13.5" customHeight="1" x14ac:dyDescent="0.2">
      <c r="A14" s="2412" t="str">
        <f>COVER!A19</f>
        <v>1877 Downers Place</v>
      </c>
      <c r="B14" s="2425"/>
      <c r="C14" s="2425"/>
      <c r="D14" s="2425"/>
      <c r="E14" s="2425"/>
      <c r="F14" s="2426"/>
      <c r="G14" s="1196" t="s">
        <v>1247</v>
      </c>
      <c r="H14" s="1194"/>
      <c r="I14" s="1194"/>
      <c r="J14" s="1194"/>
      <c r="K14" s="1194"/>
      <c r="L14" s="1195"/>
    </row>
    <row r="15" spans="1:29" ht="13.5" customHeight="1" x14ac:dyDescent="0.2">
      <c r="A15" s="2412" t="str">
        <f>COVER!A21</f>
        <v>Aurora</v>
      </c>
      <c r="B15" s="2425"/>
      <c r="C15" s="2425"/>
      <c r="D15" s="2425"/>
      <c r="E15" s="2425"/>
      <c r="F15" s="2426"/>
      <c r="G15" s="2422" t="str">
        <f>COVER!T15</f>
        <v>Christine Torres</v>
      </c>
      <c r="H15" s="2423"/>
      <c r="I15" s="2423"/>
      <c r="J15" s="2423"/>
      <c r="K15" s="2423"/>
      <c r="L15" s="2424"/>
    </row>
    <row r="16" spans="1:29" ht="12.2" customHeight="1" x14ac:dyDescent="0.2">
      <c r="A16" s="2402">
        <f>COVER!A25</f>
        <v>60506</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196" t="s">
        <v>1246</v>
      </c>
      <c r="H17" s="1194"/>
      <c r="I17" s="1194"/>
      <c r="J17" s="1194"/>
      <c r="K17" s="1198" t="s">
        <v>1245</v>
      </c>
      <c r="L17" s="1191"/>
      <c r="M17" s="1184"/>
    </row>
    <row r="18" spans="1:13" ht="12.2" customHeight="1" x14ac:dyDescent="0.2">
      <c r="A18" s="2396"/>
      <c r="B18" s="2397"/>
      <c r="C18" s="2397"/>
      <c r="D18" s="2397"/>
      <c r="E18" s="2397"/>
      <c r="F18" s="2398"/>
      <c r="G18" s="2399" t="str">
        <f>COVER!T21</f>
        <v>630-706-2074</v>
      </c>
      <c r="H18" s="2400"/>
      <c r="I18" s="2400"/>
      <c r="J18" s="2400"/>
      <c r="K18" s="2399" t="str">
        <f>COVER!X21</f>
        <v>630-574-1608</v>
      </c>
      <c r="L18" s="240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0" t="str">
        <f>'Single Audit Cover'!A7</f>
        <v>Hope D Wall</v>
      </c>
      <c r="B1" s="2436"/>
      <c r="C1" s="2436"/>
      <c r="D1" s="2436"/>
    </row>
    <row r="2" spans="1:11" s="1215" customFormat="1" ht="12.75" x14ac:dyDescent="0.2">
      <c r="A2" s="2441" t="str">
        <f>'Single Audit Cover'!E7</f>
        <v>31-045-1290-61</v>
      </c>
      <c r="B2" s="2442"/>
      <c r="C2" s="2442"/>
      <c r="D2" s="2442"/>
    </row>
    <row r="3" spans="1:11" s="1215" customFormat="1" ht="12.75" x14ac:dyDescent="0.2">
      <c r="A3" s="2440" t="s">
        <v>1593</v>
      </c>
      <c r="B3" s="2436"/>
      <c r="C3" s="2436"/>
      <c r="D3" s="2436"/>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4" t="str">
        <f>'Single Audit Cover'!A7</f>
        <v>Hope D Wall</v>
      </c>
      <c r="B1" s="2444"/>
      <c r="C1" s="2444"/>
      <c r="D1" s="2444"/>
      <c r="E1" s="2444"/>
    </row>
    <row r="2" spans="1:5" x14ac:dyDescent="0.2">
      <c r="A2" s="2445" t="str">
        <f>'Single Audit Cover'!E7</f>
        <v>31-045-1290-61</v>
      </c>
      <c r="B2" s="2445"/>
      <c r="C2" s="2445"/>
      <c r="D2" s="2445"/>
      <c r="E2" s="2445"/>
    </row>
    <row r="3" spans="1:5" ht="4.5" customHeight="1" x14ac:dyDescent="0.2"/>
    <row r="4" spans="1:5" x14ac:dyDescent="0.2">
      <c r="A4" s="2444" t="s">
        <v>1307</v>
      </c>
      <c r="B4" s="2444"/>
      <c r="C4" s="2444"/>
      <c r="D4" s="2444"/>
      <c r="E4" s="2444"/>
    </row>
    <row r="5" spans="1:5" x14ac:dyDescent="0.2">
      <c r="A5" s="2447" t="str">
        <f>'Single Audit Cover'!A4</f>
        <v>Year Ending June 30, 2018</v>
      </c>
      <c r="B5" s="2447"/>
      <c r="C5" s="2447"/>
      <c r="D5" s="2447"/>
      <c r="E5" s="2447"/>
    </row>
    <row r="6" spans="1:5" x14ac:dyDescent="0.2">
      <c r="A6" s="2444" t="s">
        <v>1306</v>
      </c>
      <c r="B6" s="2444"/>
      <c r="C6" s="2444"/>
      <c r="D6" s="2444"/>
      <c r="E6" s="2444"/>
    </row>
    <row r="8" spans="1:5" x14ac:dyDescent="0.2">
      <c r="A8" s="1260" t="s">
        <v>1305</v>
      </c>
    </row>
    <row r="10" spans="1:5" x14ac:dyDescent="0.2">
      <c r="A10" s="1261" t="s">
        <v>1304</v>
      </c>
      <c r="B10" s="1262" t="s">
        <v>1303</v>
      </c>
      <c r="C10" s="1262"/>
      <c r="D10" s="1263">
        <f>SUM('Acct Summary 7-8'!C7:K7)</f>
        <v>150046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150046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6"/>
      <c r="B24" s="2446"/>
      <c r="D24" s="1268"/>
    </row>
    <row r="25" spans="1:4" x14ac:dyDescent="0.2">
      <c r="A25" s="2443"/>
      <c r="B25" s="2443"/>
      <c r="D25" s="1268"/>
    </row>
    <row r="26" spans="1:4" x14ac:dyDescent="0.2">
      <c r="A26" s="2443"/>
      <c r="B26" s="2443"/>
      <c r="D26" s="1268"/>
    </row>
    <row r="27" spans="1:4" x14ac:dyDescent="0.2">
      <c r="A27" s="2443"/>
      <c r="B27" s="2443"/>
      <c r="D27" s="1268"/>
    </row>
    <row r="28" spans="1:4" x14ac:dyDescent="0.2">
      <c r="A28" s="2443"/>
      <c r="B28" s="2443"/>
      <c r="D28" s="1268"/>
    </row>
    <row r="29" spans="1:4" x14ac:dyDescent="0.2">
      <c r="A29" s="2443"/>
      <c r="B29" s="2443"/>
      <c r="D29" s="1268"/>
    </row>
    <row r="30" spans="1:4" x14ac:dyDescent="0.2">
      <c r="A30" s="2443"/>
      <c r="B30" s="2443"/>
      <c r="D30" s="1268"/>
    </row>
    <row r="32" spans="1:4" x14ac:dyDescent="0.2">
      <c r="A32" s="1260" t="s">
        <v>1295</v>
      </c>
      <c r="D32" s="1263">
        <f>SUM(D19:D30)</f>
        <v>150046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3"/>
      <c r="B40" s="2443"/>
      <c r="D40" s="1268"/>
    </row>
    <row r="41" spans="1:4" x14ac:dyDescent="0.2">
      <c r="A41" s="2443"/>
      <c r="B41" s="2443"/>
      <c r="D41" s="1271"/>
    </row>
    <row r="42" spans="1:4" x14ac:dyDescent="0.2">
      <c r="A42" s="2443"/>
      <c r="B42" s="2443"/>
      <c r="D42" s="1271"/>
    </row>
    <row r="43" spans="1:4" x14ac:dyDescent="0.2">
      <c r="A43" s="2443"/>
      <c r="B43" s="2443"/>
      <c r="D43" s="1271"/>
    </row>
    <row r="44" spans="1:4" x14ac:dyDescent="0.2">
      <c r="A44" s="2443"/>
      <c r="B44" s="2443"/>
      <c r="D44" s="1271"/>
    </row>
    <row r="45" spans="1:4" x14ac:dyDescent="0.2">
      <c r="A45" s="2443"/>
      <c r="B45" s="2443"/>
      <c r="D45" s="1271"/>
    </row>
    <row r="47" spans="1:4" x14ac:dyDescent="0.2">
      <c r="B47" s="1272" t="s">
        <v>1289</v>
      </c>
      <c r="C47" s="1272"/>
      <c r="D47" s="1273">
        <f>SUM(D35:D45)</f>
        <v>0</v>
      </c>
    </row>
    <row r="49" spans="2:4" x14ac:dyDescent="0.2">
      <c r="B49" s="1272" t="s">
        <v>1288</v>
      </c>
      <c r="C49" s="1272"/>
      <c r="D49" s="1273">
        <f>D32-D47</f>
        <v>150046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Hope D Wall</v>
      </c>
      <c r="B1" s="2449"/>
      <c r="C1" s="2449"/>
      <c r="D1" s="2449"/>
      <c r="E1" s="2449"/>
      <c r="F1" s="2449"/>
    </row>
    <row r="2" spans="1:7" ht="13.5" customHeight="1" x14ac:dyDescent="0.2">
      <c r="A2" s="2450" t="str">
        <f>'Single Audit Cover'!E7</f>
        <v>31-045-1290-61</v>
      </c>
      <c r="B2" s="2450"/>
      <c r="C2" s="2450"/>
      <c r="D2" s="2450"/>
      <c r="E2" s="2450"/>
      <c r="F2" s="2450"/>
      <c r="G2" s="1275"/>
    </row>
    <row r="3" spans="1:7" ht="15.75" customHeight="1" x14ac:dyDescent="0.2">
      <c r="A3" s="2451" t="s">
        <v>1333</v>
      </c>
      <c r="B3" s="2451"/>
      <c r="C3" s="2451"/>
      <c r="D3" s="2451"/>
      <c r="E3" s="2451"/>
      <c r="F3" s="2451"/>
    </row>
    <row r="4" spans="1:7" ht="13.5" customHeight="1" x14ac:dyDescent="0.2">
      <c r="A4" s="2452" t="str">
        <f>'Single Audit Cover'!A4</f>
        <v>Year Ending June 30, 2018</v>
      </c>
      <c r="B4" s="2452"/>
      <c r="C4" s="2452"/>
      <c r="D4" s="2452"/>
      <c r="E4" s="2452"/>
      <c r="F4" s="2452"/>
    </row>
    <row r="5" spans="1:7" ht="8.25" customHeight="1" x14ac:dyDescent="0.2">
      <c r="C5" s="317"/>
      <c r="D5" s="317"/>
    </row>
    <row r="6" spans="1:7" ht="13.5" customHeight="1" x14ac:dyDescent="0.2">
      <c r="A6" s="1276" t="s">
        <v>1831</v>
      </c>
      <c r="C6" s="317"/>
      <c r="D6" s="317"/>
    </row>
    <row r="7" spans="1:7" ht="60.95" customHeight="1" x14ac:dyDescent="0.2">
      <c r="A7" s="2448" t="s">
        <v>1832</v>
      </c>
      <c r="B7" s="2448"/>
      <c r="C7" s="2448"/>
      <c r="D7" s="2448"/>
      <c r="E7" s="2448"/>
      <c r="F7" s="244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48" t="s">
        <v>1834</v>
      </c>
      <c r="B13" s="2448"/>
      <c r="C13" s="2448"/>
      <c r="D13" s="2448"/>
      <c r="E13" s="2448"/>
      <c r="F13" s="2448"/>
    </row>
    <row r="14" spans="1:7" ht="9.75" customHeight="1" x14ac:dyDescent="0.2">
      <c r="C14" s="1260"/>
      <c r="D14" s="1260"/>
    </row>
    <row r="15" spans="1:7" ht="13.5" customHeight="1" x14ac:dyDescent="0.2">
      <c r="C15" s="1871" t="s">
        <v>1332</v>
      </c>
      <c r="D15" s="2454" t="s">
        <v>1331</v>
      </c>
      <c r="E15" s="2454"/>
      <c r="F15" s="2454"/>
    </row>
    <row r="16" spans="1:7" ht="13.5" customHeight="1" x14ac:dyDescent="0.2">
      <c r="A16" s="1282"/>
      <c r="B16" s="1276" t="s">
        <v>1330</v>
      </c>
      <c r="C16" s="1871" t="s">
        <v>1329</v>
      </c>
      <c r="D16" s="2455" t="s">
        <v>1670</v>
      </c>
      <c r="E16" s="2455"/>
      <c r="F16" s="2455"/>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7" t="s">
        <v>1835</v>
      </c>
      <c r="B32" s="2457"/>
      <c r="C32" s="2457"/>
      <c r="D32" s="2457"/>
      <c r="E32" s="2457"/>
      <c r="F32" s="2457"/>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8">
        <f>+C33+C34</f>
        <v>0</v>
      </c>
      <c r="F34" s="2459"/>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0" t="s">
        <v>1672</v>
      </c>
      <c r="C49" s="2460"/>
      <c r="D49" s="2460"/>
      <c r="E49" s="1399"/>
    </row>
    <row r="50" spans="1:5" s="1300" customFormat="1" ht="3.75" customHeight="1" x14ac:dyDescent="0.2">
      <c r="A50" s="1299"/>
      <c r="B50" s="1870"/>
      <c r="C50" s="1870"/>
      <c r="D50" s="1870"/>
      <c r="E50" s="1399"/>
    </row>
    <row r="51" spans="1:5" s="1300" customFormat="1" ht="20.25" customHeight="1" x14ac:dyDescent="0.2">
      <c r="A51" s="1301">
        <v>6</v>
      </c>
      <c r="B51" s="2456" t="s">
        <v>1632</v>
      </c>
      <c r="C51" s="2456"/>
      <c r="D51" s="2456"/>
    </row>
    <row r="52" spans="1:5" ht="14.25" customHeight="1" x14ac:dyDescent="0.2">
      <c r="A52" s="1301"/>
      <c r="B52" s="2456"/>
      <c r="C52" s="2456"/>
      <c r="D52" s="245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5" t="str">
        <f>'Single Audit Cover'!A7</f>
        <v>Hope D Wall</v>
      </c>
      <c r="C1" s="2461"/>
      <c r="D1" s="2461"/>
      <c r="E1" s="2461"/>
      <c r="F1" s="2461"/>
      <c r="G1" s="2461"/>
      <c r="H1" s="2461"/>
      <c r="I1" s="2461"/>
      <c r="J1" s="2461"/>
      <c r="K1" s="2461"/>
      <c r="L1" s="2461"/>
      <c r="M1" s="2461"/>
    </row>
    <row r="2" spans="2:14" ht="15" x14ac:dyDescent="0.2">
      <c r="B2" s="2450" t="str">
        <f>'Single Audit Cover'!E7</f>
        <v>31-045-1290-61</v>
      </c>
      <c r="C2" s="2450"/>
      <c r="D2" s="2450"/>
      <c r="E2" s="2450"/>
      <c r="F2" s="2450"/>
      <c r="G2" s="2450"/>
      <c r="H2" s="2450"/>
      <c r="I2" s="2450"/>
      <c r="J2" s="2450"/>
      <c r="K2" s="2450"/>
      <c r="L2" s="2450"/>
      <c r="M2" s="2450"/>
      <c r="N2" s="1302"/>
    </row>
    <row r="3" spans="2:14" ht="15" x14ac:dyDescent="0.2">
      <c r="B3" s="2462" t="s">
        <v>1281</v>
      </c>
      <c r="C3" s="2462"/>
      <c r="D3" s="2462"/>
      <c r="E3" s="2462"/>
      <c r="F3" s="2462"/>
      <c r="G3" s="2462"/>
      <c r="H3" s="2462"/>
      <c r="I3" s="2462"/>
      <c r="J3" s="2462"/>
      <c r="K3" s="2462"/>
      <c r="L3" s="2462"/>
      <c r="M3" s="2462"/>
      <c r="N3" s="1302"/>
    </row>
    <row r="4" spans="2:14" ht="15" x14ac:dyDescent="0.2">
      <c r="B4" s="2463" t="str">
        <f>'Single Audit Cover'!A4</f>
        <v>Year Ending June 30, 2018</v>
      </c>
      <c r="C4" s="2463"/>
      <c r="D4" s="2463"/>
      <c r="E4" s="2463"/>
      <c r="F4" s="2463"/>
      <c r="G4" s="2463"/>
      <c r="H4" s="2463"/>
      <c r="I4" s="2463"/>
      <c r="J4" s="2463"/>
      <c r="K4" s="2463"/>
      <c r="L4" s="2463"/>
      <c r="M4" s="2463"/>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Hope D Wall</v>
      </c>
      <c r="C1" s="2469"/>
      <c r="D1" s="2469"/>
      <c r="E1" s="2469"/>
      <c r="F1" s="2469"/>
      <c r="G1" s="2469"/>
      <c r="H1" s="2469"/>
      <c r="I1" s="2469"/>
      <c r="J1" s="1422"/>
    </row>
    <row r="2" spans="2:10" s="317" customFormat="1" ht="12.75" customHeight="1" x14ac:dyDescent="0.2">
      <c r="B2" s="2470" t="str">
        <f>'Single Audit Cover'!E7</f>
        <v>31-045-1290-61</v>
      </c>
      <c r="C2" s="2471"/>
      <c r="D2" s="2471"/>
      <c r="E2" s="2471"/>
      <c r="F2" s="2471"/>
      <c r="G2" s="2471"/>
      <c r="H2" s="2471"/>
      <c r="I2" s="2471"/>
      <c r="J2" s="1422"/>
    </row>
    <row r="3" spans="2:10" s="317" customFormat="1" ht="12.75" customHeight="1" x14ac:dyDescent="0.2">
      <c r="B3" s="2472" t="s">
        <v>1347</v>
      </c>
      <c r="C3" s="2473"/>
      <c r="D3" s="2473"/>
      <c r="E3" s="2473"/>
      <c r="F3" s="2473"/>
      <c r="G3" s="2473"/>
      <c r="H3" s="2473"/>
      <c r="I3" s="2473"/>
      <c r="J3" s="1423"/>
    </row>
    <row r="4" spans="2:10" s="317" customFormat="1" ht="12.75" customHeight="1" x14ac:dyDescent="0.2">
      <c r="B4" s="2472" t="str">
        <f>'Single Audit Cover'!A4</f>
        <v>Year Ending June 30, 2018</v>
      </c>
      <c r="C4" s="2473"/>
      <c r="D4" s="2473"/>
      <c r="E4" s="2473"/>
      <c r="F4" s="2473"/>
      <c r="G4" s="2473"/>
      <c r="H4" s="2473"/>
      <c r="I4" s="247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2" t="s">
        <v>1346</v>
      </c>
      <c r="C7" s="2473"/>
      <c r="D7" s="2473"/>
      <c r="E7" s="2473"/>
      <c r="F7" s="2473"/>
      <c r="G7" s="2473"/>
      <c r="H7" s="2473"/>
      <c r="I7" s="247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4"/>
      <c r="D11" s="247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5"/>
      <c r="E29" s="2475"/>
      <c r="F29" s="2475"/>
      <c r="G29" s="2475"/>
      <c r="H29" s="2475"/>
      <c r="I29" s="247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6" t="s">
        <v>1854</v>
      </c>
      <c r="D37" s="2477"/>
      <c r="E37" s="2477"/>
      <c r="F37" s="2478"/>
      <c r="G37" s="2476" t="s">
        <v>1674</v>
      </c>
      <c r="H37" s="2477"/>
      <c r="I37" s="2478"/>
    </row>
    <row r="38" spans="2:9" ht="16.5" customHeight="1" x14ac:dyDescent="0.2">
      <c r="B38" s="1444"/>
      <c r="C38" s="2464"/>
      <c r="D38" s="2465"/>
      <c r="E38" s="2465"/>
      <c r="F38" s="2466"/>
      <c r="G38" s="2479"/>
      <c r="H38" s="2480"/>
      <c r="I38" s="2481"/>
    </row>
    <row r="39" spans="2:9" ht="16.5" customHeight="1" x14ac:dyDescent="0.2">
      <c r="B39" s="1444"/>
      <c r="C39" s="2464"/>
      <c r="D39" s="2465"/>
      <c r="E39" s="2465"/>
      <c r="F39" s="2466"/>
      <c r="G39" s="2467"/>
      <c r="H39" s="2467"/>
      <c r="I39" s="2467"/>
    </row>
    <row r="40" spans="2:9" ht="16.5" customHeight="1" x14ac:dyDescent="0.2">
      <c r="B40" s="1444"/>
      <c r="C40" s="2464"/>
      <c r="D40" s="2465"/>
      <c r="E40" s="2465"/>
      <c r="F40" s="2466"/>
      <c r="G40" s="2467"/>
      <c r="H40" s="2467"/>
      <c r="I40" s="2467"/>
    </row>
    <row r="41" spans="2:9" ht="16.5" customHeight="1" x14ac:dyDescent="0.2">
      <c r="B41" s="1444"/>
      <c r="C41" s="2464"/>
      <c r="D41" s="2465"/>
      <c r="E41" s="2465"/>
      <c r="F41" s="2466"/>
      <c r="G41" s="2467"/>
      <c r="H41" s="2467"/>
      <c r="I41" s="2467"/>
    </row>
    <row r="42" spans="2:9" ht="16.5" customHeight="1" x14ac:dyDescent="0.2">
      <c r="B42" s="1444"/>
      <c r="C42" s="2464"/>
      <c r="D42" s="2465"/>
      <c r="E42" s="2465"/>
      <c r="F42" s="2466"/>
      <c r="G42" s="2467"/>
      <c r="H42" s="2467"/>
      <c r="I42" s="2467"/>
    </row>
    <row r="43" spans="2:9" ht="16.5" customHeight="1" x14ac:dyDescent="0.2">
      <c r="B43" s="1444"/>
      <c r="C43" s="2482" t="s">
        <v>1675</v>
      </c>
      <c r="D43" s="2483"/>
      <c r="E43" s="2483"/>
      <c r="F43" s="2484"/>
      <c r="G43" s="2485">
        <f>SUM(G38:I42)</f>
        <v>0</v>
      </c>
      <c r="H43" s="2485"/>
      <c r="I43" s="2485"/>
    </row>
    <row r="44" spans="2:9" ht="12.75" customHeight="1" x14ac:dyDescent="0.2"/>
    <row r="45" spans="2:9" ht="12.75" customHeight="1" x14ac:dyDescent="0.2">
      <c r="B45" s="1435" t="s">
        <v>1952</v>
      </c>
      <c r="D45" s="2486">
        <v>0</v>
      </c>
      <c r="E45" s="2487"/>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8"/>
      <c r="F49" s="2488"/>
      <c r="G49" s="2488"/>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Hope D Wall</v>
      </c>
      <c r="C1" s="2468"/>
      <c r="D1" s="2468"/>
      <c r="E1" s="2468"/>
      <c r="F1" s="2468"/>
      <c r="G1" s="2468"/>
      <c r="H1" s="2468"/>
      <c r="I1" s="2468"/>
      <c r="J1" s="2468"/>
      <c r="K1" s="2468"/>
      <c r="L1" s="1374"/>
      <c r="M1" s="1374"/>
    </row>
    <row r="2" spans="1:13" ht="12" customHeight="1" x14ac:dyDescent="0.2">
      <c r="B2" s="2470" t="str">
        <f>'Single Audit Cover'!E7</f>
        <v>31-045-1290-61</v>
      </c>
      <c r="C2" s="2470"/>
      <c r="D2" s="2470"/>
      <c r="E2" s="2470"/>
      <c r="F2" s="2470"/>
      <c r="G2" s="2470"/>
      <c r="H2" s="2470"/>
      <c r="I2" s="2470"/>
      <c r="J2" s="2470"/>
      <c r="K2" s="2470"/>
      <c r="L2" s="1375"/>
      <c r="M2" s="1376"/>
    </row>
    <row r="3" spans="1:13" ht="10.35" customHeight="1" x14ac:dyDescent="0.2">
      <c r="B3" s="2491" t="s">
        <v>1347</v>
      </c>
      <c r="C3" s="2491"/>
      <c r="D3" s="2491"/>
      <c r="E3" s="2491"/>
      <c r="F3" s="2491"/>
      <c r="G3" s="2491"/>
      <c r="H3" s="2491"/>
      <c r="I3" s="2491"/>
      <c r="J3" s="2491"/>
      <c r="K3" s="2491"/>
      <c r="L3" s="1377"/>
      <c r="M3" s="1377"/>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2" t="s">
        <v>1363</v>
      </c>
      <c r="C7" s="2492"/>
      <c r="D7" s="2493"/>
      <c r="E7" s="2493"/>
      <c r="F7" s="2493"/>
      <c r="G7" s="2493"/>
      <c r="H7" s="2493"/>
      <c r="I7" s="2493"/>
      <c r="J7" s="2493"/>
      <c r="K7" s="2493"/>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0"/>
      <c r="C14" s="2490"/>
      <c r="D14" s="2490"/>
      <c r="E14" s="2490"/>
      <c r="F14" s="2490"/>
      <c r="G14" s="2490"/>
      <c r="H14" s="2490"/>
      <c r="I14" s="2490"/>
      <c r="J14" s="2490"/>
      <c r="K14" s="2490"/>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0"/>
      <c r="C17" s="2490"/>
      <c r="D17" s="2490"/>
      <c r="E17" s="2490"/>
      <c r="F17" s="2490"/>
      <c r="G17" s="2490"/>
      <c r="H17" s="2490"/>
      <c r="I17" s="2490"/>
      <c r="J17" s="2490"/>
      <c r="K17" s="2490"/>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4"/>
      <c r="C20" s="2494"/>
      <c r="D20" s="2490"/>
      <c r="E20" s="2490"/>
      <c r="F20" s="2490"/>
      <c r="G20" s="2490"/>
      <c r="H20" s="2490"/>
      <c r="I20" s="2490"/>
      <c r="J20" s="2490"/>
      <c r="K20" s="2490"/>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0"/>
      <c r="C23" s="2490"/>
      <c r="D23" s="2490"/>
      <c r="E23" s="2490"/>
      <c r="F23" s="2490"/>
      <c r="G23" s="2490"/>
      <c r="H23" s="2490"/>
      <c r="I23" s="2490"/>
      <c r="J23" s="2490"/>
      <c r="K23" s="2490"/>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0"/>
      <c r="C26" s="2490"/>
      <c r="D26" s="2490"/>
      <c r="E26" s="2490"/>
      <c r="F26" s="2490"/>
      <c r="G26" s="2490"/>
      <c r="H26" s="2490"/>
      <c r="I26" s="2490"/>
      <c r="J26" s="2490"/>
      <c r="K26" s="2490"/>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9"/>
      <c r="C29" s="2489"/>
      <c r="D29" s="2490"/>
      <c r="E29" s="2490"/>
      <c r="F29" s="2490"/>
      <c r="G29" s="2490"/>
      <c r="H29" s="2490"/>
      <c r="I29" s="2490"/>
      <c r="J29" s="2490"/>
      <c r="K29" s="2490"/>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9"/>
      <c r="C32" s="2489"/>
      <c r="D32" s="2490"/>
      <c r="E32" s="2490"/>
      <c r="F32" s="2490"/>
      <c r="G32" s="2490"/>
      <c r="H32" s="2490"/>
      <c r="I32" s="2490"/>
      <c r="J32" s="2490"/>
      <c r="K32" s="2490"/>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Hope D Wall</v>
      </c>
      <c r="C1" s="2495"/>
      <c r="D1" s="2495"/>
      <c r="E1" s="2495"/>
      <c r="F1" s="2495"/>
      <c r="G1" s="2495"/>
      <c r="H1" s="2495"/>
      <c r="I1" s="2495"/>
      <c r="J1" s="2495"/>
      <c r="K1" s="2495"/>
      <c r="L1" s="1465"/>
    </row>
    <row r="2" spans="1:12" ht="12.75" customHeight="1" x14ac:dyDescent="0.2">
      <c r="B2" s="2496" t="str">
        <f>'Single Audit Cover'!E7</f>
        <v>31-045-1290-61</v>
      </c>
      <c r="C2" s="2496"/>
      <c r="D2" s="2496"/>
      <c r="E2" s="2496"/>
      <c r="F2" s="2496"/>
      <c r="G2" s="2496"/>
      <c r="H2" s="2496"/>
      <c r="I2" s="2496"/>
      <c r="J2" s="2496"/>
      <c r="K2" s="2496"/>
      <c r="L2" s="1466"/>
    </row>
    <row r="3" spans="1:12" ht="12.75" customHeight="1" x14ac:dyDescent="0.2">
      <c r="B3" s="2491" t="s">
        <v>1347</v>
      </c>
      <c r="C3" s="2491"/>
      <c r="D3" s="2491"/>
      <c r="E3" s="2491"/>
      <c r="F3" s="2491"/>
      <c r="G3" s="2491"/>
      <c r="H3" s="2491"/>
      <c r="I3" s="2491"/>
      <c r="J3" s="2491"/>
      <c r="K3" s="2491"/>
      <c r="L3" s="1377"/>
    </row>
    <row r="4" spans="1:12" ht="12.75" customHeight="1" x14ac:dyDescent="0.2">
      <c r="B4" s="2491" t="str">
        <f>'Single Audit Cover'!A4</f>
        <v>Year Ending June 30, 2018</v>
      </c>
      <c r="C4" s="2491"/>
      <c r="D4" s="2491"/>
      <c r="E4" s="2491"/>
      <c r="F4" s="2491"/>
      <c r="G4" s="2491"/>
      <c r="H4" s="2491"/>
      <c r="I4" s="2491"/>
      <c r="J4" s="2491"/>
      <c r="K4" s="2491"/>
      <c r="L4" s="1377"/>
    </row>
    <row r="5" spans="1:12" ht="5.25" customHeight="1" x14ac:dyDescent="0.2">
      <c r="B5" s="1260" t="s">
        <v>1231</v>
      </c>
      <c r="C5" s="1260"/>
      <c r="L5" s="322"/>
    </row>
    <row r="6" spans="1:12" ht="30.75" customHeight="1" x14ac:dyDescent="0.2">
      <c r="A6" s="322"/>
      <c r="B6" s="2497" t="s">
        <v>1375</v>
      </c>
      <c r="C6" s="2497"/>
      <c r="D6" s="2497"/>
      <c r="E6" s="2497"/>
      <c r="F6" s="2497"/>
      <c r="G6" s="2497"/>
      <c r="H6" s="2497"/>
      <c r="I6" s="2497"/>
      <c r="J6" s="2497"/>
      <c r="K6" s="2497"/>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5"/>
      <c r="G12" s="2475"/>
      <c r="H12" s="2475"/>
      <c r="I12" s="2475"/>
      <c r="J12" s="2475"/>
      <c r="K12" s="247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0"/>
      <c r="C20" s="2490"/>
      <c r="D20" s="2490"/>
      <c r="E20" s="2490"/>
      <c r="F20" s="2490"/>
      <c r="G20" s="2490"/>
      <c r="H20" s="2490"/>
      <c r="I20" s="2490"/>
      <c r="J20" s="2490"/>
      <c r="K20" s="2490"/>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8" t="str">
        <f>'Single Audit Cover'!A7</f>
        <v>Hope D Wall</v>
      </c>
      <c r="C1" s="2468"/>
      <c r="D1" s="2468"/>
      <c r="E1" s="1491"/>
    </row>
    <row r="2" spans="2:5" s="1282" customFormat="1" ht="12.75" customHeight="1" x14ac:dyDescent="0.2">
      <c r="B2" s="2470" t="str">
        <f>'Single Audit Cover'!E7</f>
        <v>31-045-1290-61</v>
      </c>
      <c r="C2" s="2470"/>
      <c r="D2" s="2470"/>
      <c r="E2" s="1492"/>
    </row>
    <row r="3" spans="2:5" ht="12.75" customHeight="1" x14ac:dyDescent="0.2">
      <c r="B3" s="2491" t="s">
        <v>1869</v>
      </c>
      <c r="C3" s="2491"/>
      <c r="D3" s="2491"/>
      <c r="E3" s="1274"/>
    </row>
    <row r="4" spans="2:5" s="1282" customFormat="1" ht="12.75" customHeight="1" x14ac:dyDescent="0.2">
      <c r="B4" s="2501" t="str">
        <f>'Single Audit Cover'!A4</f>
        <v>Year Ending June 30, 2018</v>
      </c>
      <c r="C4" s="2501"/>
      <c r="D4" s="2501"/>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483fb48-e94f-4605-a5c3-ca0617cb71e8" ContentTypeId="0x0101003E158B62FF2E7F48A94D5A79E60A5783" PreviousValue="false"/>
</file>

<file path=customXml/item2.xml><?xml version="1.0" encoding="utf-8"?>
<ct:contentTypeSchema xmlns:ct="http://schemas.microsoft.com/office/2006/metadata/contentType" xmlns:ma="http://schemas.microsoft.com/office/2006/metadata/properties/metaAttributes" ct:_="" ma:_="" ma:contentTypeName="CH Attachment" ma:contentTypeID="0x0101003E158B62FF2E7F48A94D5A79E60A578300BB1C9B3F87880743B4E8C25E6B0F521A" ma:contentTypeVersion="3" ma:contentTypeDescription="Content type for attachments and related items" ma:contentTypeScope="" ma:versionID="dabd37a69a6ac8bd7186630b8e33c792">
  <xsd:schema xmlns:xsd="http://www.w3.org/2001/XMLSchema" xmlns:xs="http://www.w3.org/2001/XMLSchema" xmlns:p="http://schemas.microsoft.com/office/2006/metadata/properties" xmlns:ns2="12573e6a-d871-46ca-acb8-184d6dd9d449" targetNamespace="http://schemas.microsoft.com/office/2006/metadata/properties" ma:root="true" ma:fieldsID="9a22a6772d67c3f54e302689a549f154" ns2:_="">
    <xsd:import namespace="12573e6a-d871-46ca-acb8-184d6dd9d449"/>
    <xsd:element name="properties">
      <xsd:complexType>
        <xsd:sequence>
          <xsd:element name="documentManagement">
            <xsd:complexType>
              <xsd:all>
                <xsd:element ref="ns2:b23096a0178249f0aec539c2c00d8c8d" minOccurs="0"/>
                <xsd:element ref="ns2:CroweRelatedElements" minOccurs="0"/>
                <xsd:element ref="ns2:CroweRelatedWorkpapers" minOccurs="0"/>
                <xsd:element ref="ns2:bf52b3ff23064d048d764f07fa65461d" minOccurs="0"/>
                <xsd:element ref="ns2:CroweClientNameText" minOccurs="0"/>
                <xsd:element ref="ns2:CroweIndustrySpecializationText" minOccurs="0"/>
                <xsd:element ref="ns2:CroweProjectTypeText" minOccurs="0"/>
                <xsd:element ref="ns2:CroweProjectNumberText" minOccurs="0"/>
                <xsd:element ref="ns2:CroweProjectNameText" minOccurs="0"/>
                <xsd:element ref="ns2:CrowePeriodEndText" minOccurs="0"/>
                <xsd:element ref="ns2:bec4d733bd9c4d08a2a335e9db5a06c4" minOccurs="0"/>
                <xsd:element ref="ns2:CroweSDLID" minOccurs="0"/>
                <xsd:element ref="ns2:TaxKeywordTaxHTField" minOccurs="0"/>
                <xsd:element ref="ns2:f116d81fb8f04910b4e5f43b9520372a" minOccurs="0"/>
                <xsd:element ref="ns2:TaxCatchAll" minOccurs="0"/>
                <xsd:element ref="ns2:TaxCatchAllLabel" minOccurs="0"/>
                <xsd:element ref="ns2:e2ce2d862580429ebfffc50b10a63da6" minOccurs="0"/>
                <xsd:element ref="ns2:b58c579c860b4c15aa81a0f4409d4cb9" minOccurs="0"/>
                <xsd:element ref="ns2:b6ac7b18f57047ddaf94d32a62f4c7b6" minOccurs="0"/>
                <xsd:element ref="ns2:ffdbccf0244f479782e223c68ac9fa1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3e6a-d871-46ca-acb8-184d6dd9d449" elementFormDefault="qualified">
    <xsd:import namespace="http://schemas.microsoft.com/office/2006/documentManagement/types"/>
    <xsd:import namespace="http://schemas.microsoft.com/office/infopath/2007/PartnerControls"/>
    <xsd:element name="b23096a0178249f0aec539c2c00d8c8d" ma:index="3" nillable="true" ma:taxonomy="true" ma:internalName="b23096a0178249f0aec539c2c00d8c8d" ma:taxonomyFieldName="CroweIndustry" ma:displayName="Industry Specialization" ma:readOnly="" ma:default="" ma:fieldId="{b23096a0-1782-49f0-aec5-39c2c00d8c8d}" ma:sspId="a483fb48-e94f-4605-a5c3-ca0617cb71e8" ma:termSetId="923ceb7c-0c17-423f-9fdf-a00730b3d024" ma:anchorId="00000000-0000-0000-0000-000000000000" ma:open="false" ma:isKeyword="false">
      <xsd:complexType>
        <xsd:sequence>
          <xsd:element ref="pc:Terms" minOccurs="0" maxOccurs="1"/>
        </xsd:sequence>
      </xsd:complexType>
    </xsd:element>
    <xsd:element name="CroweRelatedElements" ma:index="6" nillable="true" ma:displayName="Elements(s)" ma:description="" ma:internalName="CroweRelatedElements" ma:readOnly="true">
      <xsd:simpleType>
        <xsd:restriction base="dms:Note"/>
      </xsd:simpleType>
    </xsd:element>
    <xsd:element name="CroweRelatedWorkpapers" ma:index="7" nillable="true" ma:displayName="Related Workpapers" ma:description="" ma:internalName="CroweRelatedWorkpapers" ma:readOnly="true">
      <xsd:simpleType>
        <xsd:restriction base="dms:Note"/>
      </xsd:simpleType>
    </xsd:element>
    <xsd:element name="bf52b3ff23064d048d764f07fa65461d" ma:index="8" nillable="true" ma:taxonomy="true" ma:internalName="bf52b3ff23064d048d764f07fa65461d" ma:taxonomyFieldName="CroweItemType" ma:displayName="Item Type" ma:readOnly="true" ma:default="6;#Attachment|75fbb3fa-c69d-48c5-a08b-7c0fed70e544" ma:fieldId="{bf52b3ff-2306-4d04-8d76-4f07fa65461d}" ma:sspId="a483fb48-e94f-4605-a5c3-ca0617cb71e8" ma:termSetId="ea13981d-fc63-4dc8-bd30-2b837246b46d" ma:anchorId="00000000-0000-0000-0000-000000000000" ma:open="false" ma:isKeyword="false">
      <xsd:complexType>
        <xsd:sequence>
          <xsd:element ref="pc:Terms" minOccurs="0" maxOccurs="1"/>
        </xsd:sequence>
      </xsd:complexType>
    </xsd:element>
    <xsd:element name="CroweClientNameText" ma:index="10" nillable="true" ma:displayName="Client Name" ma:default="West Aurora School District 129" ma:internalName="CroweClientNameText" ma:readOnly="true">
      <xsd:simpleType>
        <xsd:restriction base="dms:Text"/>
      </xsd:simpleType>
    </xsd:element>
    <xsd:element name="CroweIndustrySpecializationText" ma:index="11" nillable="true" ma:displayName="Industry Specialization" ma:default="Government and Public College and University" ma:internalName="CroweIndustrySpecializationText" ma:readOnly="true">
      <xsd:simpleType>
        <xsd:restriction base="dms:Text"/>
      </xsd:simpleType>
    </xsd:element>
    <xsd:element name="CroweProjectTypeText" ma:index="12" nillable="true" ma:displayName="Project Type" ma:default="Audit" ma:internalName="CroweProjectTypeText" ma:readOnly="true">
      <xsd:simpleType>
        <xsd:restriction base="dms:Text"/>
      </xsd:simpleType>
    </xsd:element>
    <xsd:element name="CroweProjectNumberText" ma:index="13" nillable="true" ma:displayName="Project #" ma:default="878426.001.004" ma:internalName="CroweProjectNumberText" ma:readOnly="true">
      <xsd:simpleType>
        <xsd:restriction base="dms:Text"/>
      </xsd:simpleType>
    </xsd:element>
    <xsd:element name="CroweProjectNameText" ma:index="14" nillable="true" ma:displayName="Project Name" ma:default="West Aurora School District 129" ma:internalName="CroweProjectNameText" ma:readOnly="true">
      <xsd:simpleType>
        <xsd:restriction base="dms:Text"/>
      </xsd:simpleType>
    </xsd:element>
    <xsd:element name="CrowePeriodEndText" ma:index="15" nillable="true" ma:displayName="Period End" ma:default="6/30/2018" ma:internalName="CrowePeriodEndText" ma:readOnly="true">
      <xsd:simpleType>
        <xsd:restriction base="dms:Text"/>
      </xsd:simpleType>
    </xsd:element>
    <xsd:element name="bec4d733bd9c4d08a2a335e9db5a06c4" ma:index="16" nillable="true" ma:taxonomy="true" ma:internalName="bec4d733bd9c4d08a2a335e9db5a06c4" ma:taxonomyFieldName="CroweStatus" ma:displayName="Status" ma:readOnly="" ma:default="1;#Not Started|d46ab791-6d82-485b-afec-b9b637b864b0" ma:fieldId="{bec4d733-bd9c-4d08-a2a3-35e9db5a06c4}" ma:sspId="a483fb48-e94f-4605-a5c3-ca0617cb71e8" ma:termSetId="48d536f2-1129-4636-a1f5-a4c72f15bcc6" ma:anchorId="00000000-0000-0000-0000-000000000000" ma:open="false" ma:isKeyword="false">
      <xsd:complexType>
        <xsd:sequence>
          <xsd:element ref="pc:Terms" minOccurs="0" maxOccurs="1"/>
        </xsd:sequence>
      </xsd:complexType>
    </xsd:element>
    <xsd:element name="CroweSDLID" ma:index="18" nillable="true" ma:displayName="SDL ID" ma:internalName="CroweSDLID" ma:readOnly="true">
      <xsd:simpleType>
        <xsd:restriction base="dms:Text"/>
      </xsd:simpleType>
    </xsd:element>
    <xsd:element name="TaxKeywordTaxHTField" ma:index="22" nillable="true" ma:taxonomy="true" ma:internalName="TaxKeywordTaxHTField" ma:taxonomyFieldName="TaxKeyword" ma:displayName="Enterprise Keywords" ma:fieldId="{23f27201-bee3-471e-b2e7-b64fd8b7ca38}" ma:taxonomyMulti="true" ma:sspId="a483fb48-e94f-4605-a5c3-ca0617cb71e8" ma:termSetId="00000000-0000-0000-0000-000000000000" ma:anchorId="00000000-0000-0000-0000-000000000000" ma:open="true" ma:isKeyword="true">
      <xsd:complexType>
        <xsd:sequence>
          <xsd:element ref="pc:Terms" minOccurs="0" maxOccurs="1"/>
        </xsd:sequence>
      </xsd:complexType>
    </xsd:element>
    <xsd:element name="f116d81fb8f04910b4e5f43b9520372a" ma:index="27" nillable="true" ma:taxonomy="true" ma:internalName="f116d81fb8f04910b4e5f43b9520372a" ma:taxonomyFieldName="CroweEngagementNumber" ma:displayName="Engagement #" ma:readOnly="true" ma:default="" ma:fieldId="{f116d81f-b8f0-4910-b4e5-f43b9520372a}"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28893512-4c47-4d10-b3fd-ea86fc000b43}" ma:internalName="TaxCatchAll" ma:showField="CatchAllData" ma:web="3d5589ca-cbd4-4408-bbf6-4fe1ae113102">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28893512-4c47-4d10-b3fd-ea86fc000b43}" ma:internalName="TaxCatchAllLabel" ma:readOnly="true" ma:showField="CatchAllDataLabel" ma:web="3d5589ca-cbd4-4408-bbf6-4fe1ae113102">
      <xsd:complexType>
        <xsd:complexContent>
          <xsd:extension base="dms:MultiChoiceLookup">
            <xsd:sequence>
              <xsd:element name="Value" type="dms:Lookup" maxOccurs="unbounded" minOccurs="0" nillable="true"/>
            </xsd:sequence>
          </xsd:extension>
        </xsd:complexContent>
      </xsd:complexType>
    </xsd:element>
    <xsd:element name="e2ce2d862580429ebfffc50b10a63da6" ma:index="31" nillable="true" ma:taxonomy="true" ma:internalName="e2ce2d862580429ebfffc50b10a63da6" ma:taxonomyFieldName="CroweEngagementName" ma:displayName="Engagement Name" ma:readOnly="true" ma:default="" ma:fieldId="{e2ce2d86-2580-429e-bfff-c50b10a63da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58c579c860b4c15aa81a0f4409d4cb9" ma:index="33" nillable="true" ma:taxonomy="true" ma:internalName="b58c579c860b4c15aa81a0f4409d4cb9" ma:taxonomyFieldName="CroweProjectPeriod" ma:displayName="Project Period" ma:readOnly="true" ma:default="" ma:fieldId="{b58c579c-860b-4c15-aa81-a0f4409d4cb9}"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6ac7b18f57047ddaf94d32a62f4c7b6" ma:index="35" nillable="true" ma:taxonomy="true" ma:internalName="b6ac7b18f57047ddaf94d32a62f4c7b6" ma:taxonomyFieldName="CroweProjectName" ma:displayName="Project Name" ma:readOnly="true" ma:default="" ma:fieldId="{b6ac7b18-f570-47dd-af94-d32a62f4c7b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ffdbccf0244f479782e223c68ac9fa16" ma:index="37" nillable="true" ma:taxonomy="true" ma:internalName="ffdbccf0244f479782e223c68ac9fa16" ma:taxonomyFieldName="CroweOrigin" ma:displayName="Origin" ma:readOnly="true" ma:default="2;#Manual|99051284-c2f6-4a4b-87c6-68f80288fe69" ma:fieldId="{ffdbccf0-244f-4797-82e2-23c68ac9fa16}" ma:sspId="a483fb48-e94f-4605-a5c3-ca0617cb71e8" ma:termSetId="c3fc7bfd-34ca-4736-818a-338a6d930ae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12573e6a-d871-46ca-acb8-184d6dd9d449">
      <Value>6</Value>
      <Value>2</Value>
      <Value>1</Value>
    </TaxCatchAll>
    <TaxKeywordTaxHTField xmlns="12573e6a-d871-46ca-acb8-184d6dd9d449">
      <Terms xmlns="http://schemas.microsoft.com/office/infopath/2007/PartnerControls"/>
    </TaxKeywordTaxHTField>
    <b23096a0178249f0aec539c2c00d8c8d xmlns="12573e6a-d871-46ca-acb8-184d6dd9d449">
      <Terms xmlns="http://schemas.microsoft.com/office/infopath/2007/PartnerControls"/>
    </b23096a0178249f0aec539c2c00d8c8d>
    <bec4d733bd9c4d08a2a335e9db5a06c4 xmlns="12573e6a-d871-46ca-acb8-184d6dd9d449">
      <Terms xmlns="http://schemas.microsoft.com/office/infopath/2007/PartnerControls">
        <TermInfo xmlns="http://schemas.microsoft.com/office/infopath/2007/PartnerControls">
          <TermName xmlns="http://schemas.microsoft.com/office/infopath/2007/PartnerControls">Not Started</TermName>
          <TermId xmlns="http://schemas.microsoft.com/office/infopath/2007/PartnerControls">d46ab791-6d82-485b-afec-b9b637b864b0</TermId>
        </TermInfo>
      </Terms>
    </bec4d733bd9c4d08a2a335e9db5a06c4>
    <ffdbccf0244f479782e223c68ac9fa16 xmlns="12573e6a-d871-46ca-acb8-184d6dd9d449">
      <Terms xmlns="http://schemas.microsoft.com/office/infopath/2007/PartnerControls">
        <TermInfo xmlns="http://schemas.microsoft.com/office/infopath/2007/PartnerControls">
          <TermName xmlns="http://schemas.microsoft.com/office/infopath/2007/PartnerControls">Manual</TermName>
          <TermId xmlns="http://schemas.microsoft.com/office/infopath/2007/PartnerControls">99051284-c2f6-4a4b-87c6-68f80288fe69</TermId>
        </TermInfo>
      </Terms>
    </ffdbccf0244f479782e223c68ac9fa16>
    <bf52b3ff23064d048d764f07fa65461d xmlns="12573e6a-d871-46ca-acb8-184d6dd9d449">
      <Terms xmlns="http://schemas.microsoft.com/office/infopath/2007/PartnerControls">
        <TermInfo xmlns="http://schemas.microsoft.com/office/infopath/2007/PartnerControls">
          <TermName xmlns="http://schemas.microsoft.com/office/infopath/2007/PartnerControls">Attachment</TermName>
          <TermId xmlns="http://schemas.microsoft.com/office/infopath/2007/PartnerControls">75fbb3fa-c69d-48c5-a08b-7c0fed70e544</TermId>
        </TermInfo>
      </Terms>
    </bf52b3ff23064d048d764f07fa65461d>
    <CroweRelatedWorkpapers xmlns="12573e6a-d871-46ca-acb8-184d6dd9d449">&lt;div id="div_Workpaper128" class="related-item"&gt;&lt;a title="Other Deliverable Approval - Hope Wall AFR" class="js-related-item-link" data-relateditems-itemtype="Workpaper" data-relateditems-fileref="Other Deliverable Approval - Hope Wall AFR.docx"&gt;Z440.2&lt;/a&gt;&lt;/div&gt;</CroweRelatedWorkpapers>
    <CroweRelatedElements xmlns="12573e6a-d871-46ca-acb8-184d6dd9d449" xsi:nil="true"/>
  </documentManagement>
</p:properties>
</file>

<file path=customXml/itemProps1.xml><?xml version="1.0" encoding="utf-8"?>
<ds:datastoreItem xmlns:ds="http://schemas.openxmlformats.org/officeDocument/2006/customXml" ds:itemID="{10FCA0FE-42C9-43D8-8217-FCF3F29711BD}">
  <ds:schemaRefs>
    <ds:schemaRef ds:uri="Microsoft.SharePoint.Taxonomy.ContentTypeSync"/>
  </ds:schemaRefs>
</ds:datastoreItem>
</file>

<file path=customXml/itemProps2.xml><?xml version="1.0" encoding="utf-8"?>
<ds:datastoreItem xmlns:ds="http://schemas.openxmlformats.org/officeDocument/2006/customXml" ds:itemID="{7D535865-ABF4-40AD-9605-B7059C87A2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3e6a-d871-46ca-acb8-184d6dd9d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4.xml><?xml version="1.0" encoding="utf-8"?>
<ds:datastoreItem xmlns:ds="http://schemas.openxmlformats.org/officeDocument/2006/customXml" ds:itemID="{A7F99216-9548-403A-A1AC-CF57406FE3BA}">
  <ds:schemaRefs>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www.w3.org/XML/1998/namespace"/>
    <ds:schemaRef ds:uri="12573e6a-d871-46ca-acb8-184d6dd9d44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2019-02-01T18:37:07Z</cp:lastPrinted>
  <dcterms:created xsi:type="dcterms:W3CDTF">2003-10-29T19:06:34Z</dcterms:created>
  <dcterms:modified xsi:type="dcterms:W3CDTF">2019-02-01T19:08:03Z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0x0101003E158B62FF2E7F48A94D5A79E60A578300BB1C9B3F87880743B4E8C25E6B0F521A</vt:lpwstr>
  </property>
  <property fmtid="{D5CDD505-2E9C-101B-9397-08002B2CF9AE}" pid="4" name="CroweItemType">
    <vt:lpwstr>6;#Attachment|75fbb3fa-c69d-48c5-a08b-7c0fed70e544</vt:lpwstr>
  </property>
  <property fmtid="{D5CDD505-2E9C-101B-9397-08002B2CF9AE}" pid="5" name="CroweIndustry">
    <vt:lpwstr/>
  </property>
  <property fmtid="{D5CDD505-2E9C-101B-9397-08002B2CF9AE}" pid="6" name="CroweOrigin">
    <vt:lpwstr>2;#Manual|99051284-c2f6-4a4b-87c6-68f80288fe69</vt:lpwstr>
  </property>
  <property fmtid="{D5CDD505-2E9C-101B-9397-08002B2CF9AE}" pid="7" name="CroweStatus">
    <vt:lpwstr>1;#Not Started|d46ab791-6d82-485b-afec-b9b637b864b0</vt:lpwstr>
  </property>
</Properties>
</file>