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H34" i="182"/>
  <c r="K34" i="182" s="1"/>
  <c r="D81" i="36" s="1"/>
  <c r="F79" i="34" l="1"/>
  <c r="F74" i="34"/>
  <c r="F61" i="34"/>
  <c r="F60" i="34"/>
  <c r="F59" i="34"/>
  <c r="F58" i="34"/>
  <c r="F13" i="34" l="1"/>
  <c r="F12" i="34"/>
  <c r="F11" i="34"/>
  <c r="F10"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G367" i="29"/>
  <c r="F367" i="29"/>
  <c r="E367" i="29"/>
  <c r="D367" i="29"/>
  <c r="C367" i="29"/>
  <c r="L367" i="29"/>
  <c r="J367" i="29"/>
  <c r="I367" i="29"/>
  <c r="L357" i="29"/>
  <c r="L285" i="29" l="1"/>
  <c r="D285" i="29"/>
  <c r="D295" i="29" s="1"/>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1807" i="106" l="1"/>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B1329" i="106" s="1"/>
  <c r="D1329" i="106" s="1"/>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0" i="106" s="1"/>
  <c r="D1410" i="106" s="1"/>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D1807"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B3649" i="106" s="1"/>
  <c r="D3649"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3" i="127"/>
  <c r="B64"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c r="D5112" i="106" s="1"/>
  <c r="C108" i="5"/>
  <c r="B5120" i="106"/>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09" i="5"/>
  <c r="B5121" i="106" s="1"/>
  <c r="D5121" i="106" s="1"/>
  <c r="E109" i="5"/>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E4" i="4"/>
  <c r="B2630" i="106" s="1"/>
  <c r="D2630" i="106" s="1"/>
  <c r="D5" i="4"/>
  <c r="B3406" i="106" s="1"/>
  <c r="D3406" i="106" s="1"/>
  <c r="G5" i="4"/>
  <c r="B3409" i="106" s="1"/>
  <c r="D3409" i="106" s="1"/>
  <c r="G14" i="4"/>
  <c r="B2609" i="106" s="1"/>
  <c r="D2609" i="106" s="1"/>
  <c r="G15" i="4"/>
  <c r="B6032" i="106" s="1"/>
  <c r="D6032" i="106" s="1"/>
  <c r="F13" i="4"/>
  <c r="B2596" i="106" s="1"/>
  <c r="D2596"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B5770" i="106"/>
  <c r="D5770" i="106" s="1"/>
  <c r="F136" i="34"/>
  <c r="F131" i="34"/>
  <c r="F130" i="34"/>
  <c r="F128" i="34"/>
  <c r="F127" i="34"/>
  <c r="F111" i="34"/>
  <c r="B5847" i="106"/>
  <c r="D5847" i="106" s="1"/>
  <c r="B5752" i="106"/>
  <c r="D5752" i="106" s="1"/>
  <c r="B5599" i="106"/>
  <c r="D5599" i="106" s="1"/>
  <c r="G4" i="4"/>
  <c r="B2603" i="106" s="1"/>
  <c r="D2603" i="106" s="1"/>
  <c r="K274" i="5"/>
  <c r="H173" i="5"/>
  <c r="B5906" i="106" s="1"/>
  <c r="D5906" i="106" s="1"/>
  <c r="C172" i="5"/>
  <c r="B5214" i="106" s="1"/>
  <c r="D5214" i="106" s="1"/>
  <c r="H109" i="5"/>
  <c r="B6025" i="106" s="1"/>
  <c r="D6025" i="106" s="1"/>
  <c r="D109" i="5"/>
  <c r="B5356" i="106" s="1"/>
  <c r="D5356" i="106" s="1"/>
  <c r="F106" i="34"/>
  <c r="D7" i="7"/>
  <c r="B1763" i="106" s="1"/>
  <c r="D1763" i="106" s="1"/>
  <c r="H4" i="4"/>
  <c r="D4" i="4"/>
  <c r="B2564" i="106" s="1"/>
  <c r="D2564" i="106" s="1"/>
  <c r="C173" i="5"/>
  <c r="B5223" i="106" s="1"/>
  <c r="D5223" i="106" s="1"/>
  <c r="H6" i="4"/>
  <c r="B2656" i="106" s="1"/>
  <c r="D2656" i="106" s="1"/>
  <c r="B2655" i="106"/>
  <c r="D2655" i="106" s="1"/>
  <c r="B1746" i="106"/>
  <c r="D1746" i="106" s="1"/>
  <c r="D17" i="7"/>
  <c r="B4104" i="106" s="1"/>
  <c r="D4104" i="106" s="1"/>
  <c r="D12" i="7"/>
  <c r="B1769" i="106" s="1"/>
  <c r="D1769" i="106" s="1"/>
  <c r="D11" i="7"/>
  <c r="B1768" i="106" s="1"/>
  <c r="D1768" i="106" s="1"/>
  <c r="D15" i="7"/>
  <c r="B1772" i="106" s="1"/>
  <c r="D1772" i="106" s="1"/>
  <c r="C41" i="3" l="1"/>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E102" i="29"/>
  <c r="B2790" i="106" s="1"/>
  <c r="D2790" i="106" s="1"/>
  <c r="J342" i="29"/>
  <c r="B7223" i="106" s="1"/>
  <c r="D7223" i="106" s="1"/>
  <c r="G342" i="29"/>
  <c r="B7220" i="106" s="1"/>
  <c r="D7220" i="106" s="1"/>
  <c r="K137" i="29"/>
  <c r="K84" i="29"/>
  <c r="B79" i="36"/>
  <c r="B77" i="36"/>
  <c r="F173" i="5"/>
  <c r="D18" i="7"/>
  <c r="B4105" i="106" s="1"/>
  <c r="D4105" i="106" s="1"/>
  <c r="C6" i="4"/>
  <c r="B2553" i="106" s="1"/>
  <c r="D2553"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2031" i="106"/>
  <c r="D2031" i="106" s="1"/>
  <c r="L16" i="11"/>
  <c r="B2061" i="106" s="1"/>
  <c r="D2061"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B6916" i="106"/>
  <c r="D6916" i="106" s="1"/>
  <c r="I74" i="29"/>
  <c r="I49" i="8"/>
  <c r="B3672" i="106"/>
  <c r="D3672" i="106" s="1"/>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F275" i="5"/>
  <c r="J7" i="4"/>
  <c r="B2657" i="106"/>
  <c r="D2657" i="106" s="1"/>
  <c r="H8" i="4"/>
  <c r="D274" i="5"/>
  <c r="B3447" i="106"/>
  <c r="D3447" i="106" s="1"/>
  <c r="D19" i="7"/>
  <c r="B1775" i="106" s="1"/>
  <c r="D1775" i="106" s="1"/>
  <c r="B7270" i="106"/>
  <c r="C114" i="29" l="1"/>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G41" i="108" s="1"/>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E41" i="108" l="1"/>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G44" i="108"/>
  <c r="G45" i="108" s="1"/>
  <c r="H37" i="37"/>
  <c r="B285" i="106"/>
  <c r="D285" i="106" s="1"/>
  <c r="N37" i="3"/>
  <c r="B3678" i="106"/>
  <c r="D3678" i="106" s="1"/>
  <c r="K368" i="29"/>
  <c r="B3681" i="106" s="1"/>
  <c r="D3681" i="106" s="1"/>
  <c r="B1510" i="106"/>
  <c r="D1510" i="106" s="1"/>
  <c r="K295" i="29"/>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9" i="171"/>
  <c r="D32" i="171" s="1"/>
  <c r="D49" i="171" s="1"/>
  <c r="D10" i="17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<sst xmlns="http://schemas.openxmlformats.org/spreadsheetml/2006/main" count="5031" uniqueCount="2107">
  <si>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</si>
  <si>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</si>
  <si>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</si>
  <si>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</si>
  <si>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</si>
  <si>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</si>
  <si>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</si>
  <si>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</si>
  <si>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</si>
  <si>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</si>
  <si>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</si>
  <si>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</si>
  <si>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</si>
  <si>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</si>
  <si>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</si>
  <si>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</si>
  <si>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</si>
  <si>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</si>
  <si>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</si>
  <si>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</si>
  <si>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</si>
  <si>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</si>
  <si>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</si>
  <si>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</si>
  <si>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</si>
  <si>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</si>
  <si>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</si>
  <si>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</si>
  <si>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</si>
  <si>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</si>
  <si>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</si>
  <si>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</si>
  <si>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</si>
  <si>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</si>
  <si>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</si>
  <si>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</si>
  <si>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</si>
  <si>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</si>
  <si>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</si>
  <si>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</si>
  <si>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</si>
  <si>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</si>
  <si>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</si>
  <si>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</si>
  <si>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</si>
  <si>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</si>
  <si>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</si>
  <si>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</si>
  <si>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</si>
  <si>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</si>
  <si>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</si>
  <si>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</si>
  <si>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</si>
  <si>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</si>
  <si>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</si>
  <si>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</si>
  <si>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</si>
  <si>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</si>
  <si>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</si>
  <si>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</si>
  <si>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</si>
  <si>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</si>
  <si>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</si>
  <si>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</si>
  <si>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</si>
  <si>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</si>
  <si>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</si>
  <si>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</si>
  <si>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</si>
  <si>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</si>
  <si>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</si>
  <si>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</si>
  <si>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</si>
  <si>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</si>
  <si>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</si>
  <si>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</si>
  <si>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</si>
  <si>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</si>
  <si>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</si>
  <si>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</si>
  <si>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</si>
  <si>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</si>
  <si>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</si>
  <si>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</si>
  <si>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</si>
  <si>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</si>
  <si>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</si>
  <si>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</si>
  <si>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</si>
  <si>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</si>
  <si>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</si>
  <si>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</si>
  <si>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</si>
  <si>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</si>
  <si>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</si>
  <si>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</si>
  <si>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</si>
  <si>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</si>
  <si>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</si>
  <si>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</si>
  <si>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</si>
  <si>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</si>
  <si>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</si>
  <si>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</si>
  <si>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</si>
  <si>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</si>
  <si>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</si>
  <si>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</si>
  <si>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</si>
  <si>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</si>
  <si>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</si>
  <si>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</si>
  <si>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</si>
  <si>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</si>
  <si>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</si>
  <si>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</si>
  <si>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</si>
  <si>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</si>
  <si>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</si>
  <si>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</si>
  <si>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</si>
  <si>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</si>
  <si>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</si>
  <si>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</si>
  <si>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</si>
  <si>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</si>
  <si>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</si>
  <si>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</si>
  <si>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</si>
  <si>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</si>
  <si>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</si>
  <si>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</si>
  <si>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</si>
  <si>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</si>
  <si>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</si>
  <si>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</si>
  <si>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</si>
  <si>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</si>
  <si>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</si>
  <si>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</si>
  <si>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</si>
  <si>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</si>
  <si>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</si>
  <si>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</si>
  <si>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</si>
  <si>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</si>
  <si>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</si>
  <si>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</si>
  <si>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</si>
  <si>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</si>
  <si>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</si>
  <si>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</si>
  <si>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</si>
  <si>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</si>
  <si>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</si>
  <si>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</si>
  <si>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</si>
  <si>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</si>
  <si>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</si>
  <si>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</si>
  <si>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</si>
  <si>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</si>
  <si>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</si>
  <si>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</si>
  <si>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</si>
  <si>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</si>
  <si>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</si>
  <si>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</si>
  <si>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</si>
  <si>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</si>
  <si>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</si>
  <si>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</si>
  <si>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</si>
  <si>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</si>
  <si>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</si>
  <si>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</si>
  <si>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</si>
  <si>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</si>
  <si>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</si>
  <si>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</si>
  <si>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</si>
  <si>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</si>
  <si>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</si>
  <si>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</si>
  <si>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</si>
  <si>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</si>
  <si>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</si>
  <si>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</si>
  <si>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</si>
  <si>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</si>
  <si>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</si>
  <si>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</si>
  <si>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</si>
  <si>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</si>
  <si>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</si>
  <si>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</si>
  <si>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</si>
  <si>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</si>
  <si>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</si>
  <si>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</si>
  <si>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</si>
  <si>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</si>
  <si>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</si>
  <si>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</si>
  <si>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</si>
  <si>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</si>
  <si>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</si>
  <si>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</si>
  <si>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</si>
  <si>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</si>
  <si>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</si>
  <si>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</si>
  <si>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</si>
  <si>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</si>
  <si>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</si>
  <si>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</si>
  <si>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</si>
  <si>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</si>
  <si>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</si>
  <si>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</si>
  <si>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</si>
  <si>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</si>
  <si>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</si>
  <si>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</si>
  <si>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</si>
  <si>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</si>
  <si>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</si>
  <si>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</si>
  <si>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</si>
  <si>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</si>
  <si>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</si>
  <si>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</si>
  <si>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</si>
  <si>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</si>
  <si>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</si>
  <si>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</si>
  <si>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</si>
  <si>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</si>
  <si>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</si>
  <si>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</si>
  <si>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</si>
  <si>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</si>
  <si>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</si>
  <si>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</si>
  <si>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</si>
  <si>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</si>
  <si>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</si>
  <si>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</si>
  <si>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</si>
  <si>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</si>
  <si>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</si>
  <si>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</si>
  <si>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</si>
  <si>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</si>
  <si>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</si>
  <si>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</si>
  <si>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</si>
  <si>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</si>
  <si>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</si>
  <si>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</si>
  <si>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</si>
  <si>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</si>
  <si>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</si>
  <si>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</si>
  <si>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</si>
  <si>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</si>
  <si>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</si>
  <si>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</si>
  <si>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</si>
  <si>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</si>
  <si>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</si>
  <si>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</si>
  <si>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</si>
  <si>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</si>
  <si>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</si>
  <si>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</si>
  <si>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</si>
  <si>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</si>
  <si>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</si>
  <si>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</si>
  <si>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</si>
  <si>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</si>
  <si>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</si>
  <si>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</si>
  <si>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</si>
  <si>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</si>
  <si>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</si>
  <si>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</si>
  <si>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</si>
  <si>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</si>
  <si>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</si>
  <si>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</si>
  <si>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</si>
  <si>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</si>
  <si>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</si>
  <si>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</si>
  <si>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</si>
  <si>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</si>
  <si>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</si>
  <si>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</si>
  <si>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</si>
  <si>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</si>
  <si>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</si>
  <si>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</si>
  <si>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</si>
  <si>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</si>
  <si>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</si>
  <si>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</si>
  <si>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</si>
  <si>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</si>
  <si>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</si>
  <si>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</si>
  <si>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</si>
  <si>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</si>
  <si>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</si>
  <si>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</si>
  <si>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</si>
  <si>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</si>
  <si>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</si>
  <si>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</si>
  <si>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</si>
  <si>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</si>
  <si>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</si>
  <si>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</si>
  <si>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</si>
  <si>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</si>
  <si>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</si>
  <si>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</si>
  <si>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</si>
  <si>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</si>
  <si>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</si>
  <si>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</si>
  <si>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</si>
  <si>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</si>
  <si>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</si>
  <si>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</si>
  <si>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</si>
  <si>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</si>
  <si>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</si>
  <si>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</si>
  <si>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</si>
  <si>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</si>
  <si>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</si>
  <si>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</si>
  <si>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</si>
  <si>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</si>
  <si>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</si>
  <si>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</si>
  <si>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</si>
  <si>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</si>
  <si>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</si>
  <si>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</si>
  <si>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</si>
  <si>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</si>
  <si>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</si>
  <si>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</si>
  <si>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</si>
  <si>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</si>
  <si>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</si>
  <si>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</si>
  <si>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</si>
  <si>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</si>
  <si>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</si>
  <si>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</si>
  <si>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</si>
  <si>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</si>
  <si>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</si>
  <si>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</si>
  <si>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</si>
  <si>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</si>
  <si>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</si>
  <si>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</si>
  <si>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</si>
  <si>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</si>
  <si>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</si>
  <si>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</si>
  <si>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</si>
  <si>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</si>
  <si>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</si>
  <si>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</si>
  <si>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</si>
  <si>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</si>
  <si>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</si>
  <si>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</si>
  <si>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</si>
  <si>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</si>
  <si>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</si>
  <si>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</si>
  <si>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</si>
  <si>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</si>
  <si>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</si>
  <si>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</si>
  <si>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</si>
  <si>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</si>
  <si>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</si>
  <si>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</si>
  <si>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</si>
  <si>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</si>
  <si>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</si>
  <si>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</si>
  <si>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</si>
  <si>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</si>
  <si>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</si>
  <si>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</si>
  <si>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</si>
  <si>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</si>
  <si>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</si>
  <si>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</si>
  <si>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</si>
  <si>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</si>
  <si>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</si>
  <si>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</si>
  <si>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</si>
  <si>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</si>
  <si>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</si>
  <si>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</si>
  <si>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</si>
  <si>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</si>
  <si>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</si>
  <si>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</si>
  <si>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</si>
  <si>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</si>
  <si>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</si>
  <si>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</si>
  <si>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</si>
  <si>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</si>
  <si>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</si>
  <si>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</si>
  <si>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</si>
  <si>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</si>
  <si>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</si>
  <si>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</si>
  <si>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</si>
  <si>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</si>
  <si>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</si>
  <si>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</si>
  <si>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</si>
  <si>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</si>
  <si>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</si>
  <si>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</si>
  <si>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</si>
  <si>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</si>
  <si>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</si>
  <si>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</si>
  <si>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</si>
  <si>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</si>
  <si>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</si>
  <si>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</si>
  <si>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</si>
  <si>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</si>
  <si>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</si>
  <si>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</si>
  <si>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</si>
  <si>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</si>
  <si>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</si>
  <si>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</si>
  <si>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</si>
  <si>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</si>
  <si>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</si>
  <si>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</si>
  <si>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</si>
  <si>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</si>
  <si>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</si>
  <si>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</si>
  <si>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</si>
  <si>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</si>
  <si>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</si>
  <si>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</si>
  <si>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</si>
  <si>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</si>
  <si>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</si>
  <si>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</si>
  <si>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</si>
  <si>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</si>
  <si>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</si>
  <si>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</si>
  <si>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</si>
  <si>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</si>
  <si>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</si>
  <si>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</si>
  <si>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</si>
  <si>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</si>
  <si>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</si>
  <si>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</si>
  <si>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</si>
  <si>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</si>
  <si>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</si>
  <si>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</si>
  <si>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</si>
  <si>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</si>
  <si>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</si>
  <si>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</si>
  <si>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</si>
  <si>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</si>
  <si>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</si>
  <si>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</si>
  <si>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</si>
  <si>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</si>
  <si>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</si>
  <si>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</si>
  <si>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</si>
  <si>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</si>
  <si>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</si>
  <si>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</si>
  <si>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</si>
  <si>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</si>
  <si>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</si>
  <si>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</si>
  <si>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</si>
  <si>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</si>
  <si>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</si>
  <si>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</si>
  <si>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</si>
  <si>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</si>
  <si>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</si>
  <si>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</si>
  <si>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</si>
  <si>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</si>
  <si>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</si>
  <si>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</si>
  <si>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</si>
  <si>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</si>
  <si>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</si>
  <si>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</si>
  <si>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</si>
  <si>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</si>
  <si>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</si>
  <si>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</si>
  <si>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</si>
  <si>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</si>
  <si>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</si>
  <si>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</si>
  <si>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</si>
  <si>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</si>
  <si>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</si>
  <si>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</si>
  <si>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</si>
  <si>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</si>
  <si>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</si>
  <si>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</si>
  <si>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</si>
  <si>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</si>
  <si>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</si>
  <si>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</si>
  <si>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</si>
  <si>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</si>
  <si>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</si>
  <si>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</si>
  <si>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</si>
  <si>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</si>
  <si>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</si>
  <si>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</si>
  <si>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</si>
  <si>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</si>
  <si>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</si>
  <si>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</si>
  <si>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</si>
  <si>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</si>
  <si>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</si>
  <si>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</si>
  <si>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</si>
  <si>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</si>
  <si>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</si>
  <si>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</si>
  <si>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</si>
  <si>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</si>
  <si>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</si>
  <si>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</si>
  <si>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</si>
  <si>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</si>
  <si>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</si>
  <si>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</si>
  <si>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</si>
  <si>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</si>
  <si>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</si>
  <si>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</si>
  <si>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</si>
  <si>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</si>
  <si>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</si>
  <si>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</si>
  <si>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</si>
  <si>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</si>
  <si>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</si>
  <si>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</si>
  <si>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</si>
  <si>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</si>
  <si>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</si>
  <si>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</si>
  <si>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</si>
  <si>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</si>
  <si>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</si>
  <si>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</si>
  <si>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</si>
  <si>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</si>
  <si>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</si>
  <si>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</si>
  <si>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</si>
  <si>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</si>
  <si>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</si>
  <si>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</si>
  <si>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</si>
  <si>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</si>
  <si>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</si>
  <si>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</si>
  <si>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</si>
  <si>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</si>
  <si>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</si>
  <si>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</si>
  <si>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</si>
  <si>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</si>
  <si>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</si>
  <si>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</si>
  <si>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</si>
  <si>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</si>
  <si>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</si>
  <si>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</si>
  <si>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</si>
  <si>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</si>
  <si>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</si>
  <si>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</si>
  <si>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</si>
  <si>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</si>
  <si>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</si>
  <si>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</si>
  <si>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</si>
  <si>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</si>
  <si>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</si>
  <si>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</si>
  <si>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</si>
  <si>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</si>
  <si>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</si>
  <si>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</si>
  <si>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</si>
  <si>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</si>
  <si>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</si>
  <si>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</si>
  <si>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</si>
  <si>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</si>
  <si>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</si>
  <si>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</si>
  <si>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</si>
  <si>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</si>
  <si>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</si>
  <si>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</si>
  <si>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</si>
  <si>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</si>
  <si>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</si>
  <si>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</si>
  <si>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</si>
  <si>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</si>
  <si>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</si>
  <si>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</si>
  <si>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</si>
  <si>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</si>
  <si>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</si>
  <si>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</si>
  <si>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</si>
  <si>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</si>
  <si>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</si>
  <si>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</si>
  <si>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</si>
  <si>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</si>
  <si>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</si>
  <si>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</si>
  <si>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</si>
  <si>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</si>
  <si>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</si>
  <si>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</si>
  <si>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</si>
  <si>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</si>
  <si>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</si>
  <si>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</si>
  <si>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</si>
  <si>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</si>
  <si>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</si>
  <si>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</si>
  <si>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</si>
  <si>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</si>
  <si>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</si>
  <si>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</si>
  <si>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</si>
  <si>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</si>
  <si>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</si>
  <si>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</si>
  <si>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</si>
  <si>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</si>
  <si>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</si>
  <si>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</si>
  <si>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</si>
  <si>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</si>
  <si>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</si>
  <si>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</si>
  <si>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</si>
  <si>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</si>
  <si>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</si>
  <si>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</si>
  <si>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</si>
  <si>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</si>
  <si>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</si>
  <si>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</si>
  <si>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</si>
  <si>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</si>
  <si>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</si>
  <si>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</si>
  <si>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</si>
  <si>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</si>
  <si>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</si>
  <si>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</si>
  <si>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</si>
  <si>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</si>
  <si>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</si>
  <si>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</si>
  <si>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</si>
  <si>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</si>
  <si>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</si>
  <si>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</si>
  <si>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</si>
  <si>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</si>
  <si>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</si>
  <si>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</si>
  <si>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</si>
  <si>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</si>
  <si>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</si>
  <si>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</si>
  <si>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</si>
  <si>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</si>
  <si>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</si>
  <si>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</si>
  <si>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</si>
  <si>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</si>
  <si>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</si>
  <si>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</si>
  <si>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</si>
  <si>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</si>
  <si>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</si>
  <si>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</si>
  <si>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</si>
  <si>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</si>
  <si>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</si>
  <si>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</si>
  <si>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</si>
  <si>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</si>
  <si>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</si>
  <si>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</si>
  <si>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</si>
  <si>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</si>
  <si>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</si>
  <si>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</si>
  <si>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</si>
  <si>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</si>
  <si>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</si>
  <si>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</si>
  <si>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</si>
  <si>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</si>
  <si>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</si>
  <si>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</si>
  <si>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</si>
  <si>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</si>
  <si>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</si>
  <si>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</si>
  <si>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</si>
  <si>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</si>
  <si>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</si>
  <si>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</si>
  <si>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</si>
  <si>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</si>
  <si>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</si>
  <si>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</si>
  <si>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</si>
  <si>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</si>
  <si>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</si>
  <si>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</si>
  <si>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</si>
  <si>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</si>
  <si>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</si>
  <si>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</si>
  <si>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</si>
  <si>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</si>
  <si>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</si>
  <si>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</si>
  <si>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</si>
  <si>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</si>
  <si>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</si>
  <si>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</si>
  <si>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</si>
  <si>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</si>
  <si>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</si>
  <si>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</si>
  <si>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</si>
  <si>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</si>
  <si>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</si>
  <si>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</si>
  <si>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</si>
  <si>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</si>
  <si>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</si>
  <si>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</si>
  <si>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</si>
  <si>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</si>
  <si>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</si>
  <si>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</si>
  <si>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</si>
  <si>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</si>
  <si>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</si>
  <si>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</si>
  <si>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</si>
  <si>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</si>
  <si>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</si>
  <si>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</si>
  <si>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</si>
  <si>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</si>
  <si>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</si>
  <si>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</si>
  <si>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</si>
  <si>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</si>
  <si>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</si>
  <si>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</si>
  <si>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</si>
  <si>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</si>
  <si>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</si>
  <si>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</si>
  <si>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</si>
  <si>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</si>
  <si>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</si>
  <si>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</si>
  <si>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</si>
  <si>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</si>
  <si>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</si>
  <si>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</si>
  <si>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</si>
  <si>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</si>
  <si>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</si>
  <si>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</si>
  <si>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</si>
  <si>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</si>
  <si>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</si>
  <si>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</si>
  <si>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</si>
  <si>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</si>
  <si>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</si>
  <si>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</si>
  <si>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</si>
  <si>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</si>
  <si>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</si>
  <si>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</si>
  <si>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</si>
  <si>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</si>
  <si>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</si>
  <si>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</si>
  <si>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</si>
  <si>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</si>
  <si>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</si>
  <si>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</si>
  <si>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</si>
  <si>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</si>
  <si>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</si>
  <si>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</si>
  <si>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</si>
  <si>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</si>
  <si>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</si>
  <si>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</si>
  <si>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</si>
  <si>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</si>
  <si>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</si>
  <si>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</si>
  <si>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</si>
  <si>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</si>
  <si>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</si>
  <si>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</si>
  <si>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</si>
  <si>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</si>
  <si>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</si>
  <si>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</si>
  <si>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</si>
  <si>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</si>
  <si>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</si>
  <si>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</si>
  <si>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</si>
  <si>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</si>
  <si>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</si>
  <si>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</si>
  <si>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</si>
  <si>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</si>
  <si>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</si>
  <si>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</si>
  <si>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</si>
  <si>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</si>
  <si>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</si>
  <si>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</si>
  <si>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</si>
  <si>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</si>
  <si>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</si>
  <si>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</si>
  <si>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</si>
  <si>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</si>
  <si>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</si>
  <si>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</si>
  <si>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</si>
  <si>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</si>
  <si>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</si>
  <si>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</si>
  <si>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</si>
  <si>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</si>
  <si>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</si>
  <si>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</si>
  <si>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</si>
  <si>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</si>
  <si>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</si>
  <si>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</si>
  <si>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</si>
  <si>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</si>
  <si>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</si>
  <si>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</si>
  <si>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</si>
  <si>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</si>
  <si>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</si>
  <si>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</si>
  <si>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</si>
  <si>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</si>
  <si>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</si>
  <si>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</si>
  <si>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</si>
  <si>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</si>
  <si>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</si>
  <si>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</si>
  <si>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</si>
  <si>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</si>
  <si>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</si>
  <si>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</si>
  <si>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</si>
  <si>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</si>
  <si>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</si>
  <si>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</si>
  <si>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</si>
  <si>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</si>
  <si>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</si>
  <si>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</si>
  <si>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</si>
  <si>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</si>
  <si>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</si>
  <si>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</si>
  <si>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</si>
  <si>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</si>
  <si>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</si>
  <si>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</si>
  <si>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</si>
  <si>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</si>
  <si>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</si>
  <si>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</si>
  <si>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</si>
  <si>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</si>
  <si>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</si>
  <si>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</si>
  <si>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</si>
  <si>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</si>
  <si>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</si>
  <si>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</si>
  <si>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</si>
  <si>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</si>
  <si>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</si>
  <si>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</si>
  <si>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</si>
  <si>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</si>
  <si>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</si>
  <si>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</si>
  <si>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</si>
  <si>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</si>
  <si>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</si>
  <si>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</si>
  <si>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</si>
  <si>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</si>
  <si>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</si>
  <si>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</si>
  <si>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</si>
  <si>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</si>
  <si>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</si>
  <si>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</si>
  <si>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</si>
  <si>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</si>
  <si>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</si>
  <si>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</si>
  <si>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</si>
  <si>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</si>
  <si>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</si>
  <si>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</si>
  <si>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</si>
  <si>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</si>
  <si>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</si>
  <si>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</si>
  <si>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</si>
  <si>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</si>
  <si>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</si>
  <si>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</si>
  <si>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</si>
  <si>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</si>
  <si>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</si>
  <si>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</si>
  <si>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</si>
  <si>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</si>
  <si>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</si>
  <si>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</si>
  <si>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</si>
  <si>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</si>
  <si>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</si>
  <si>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</si>
  <si>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</si>
  <si>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</si>
  <si>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</si>
  <si>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</si>
  <si>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</si>
  <si>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</si>
  <si>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</si>
  <si>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</si>
  <si>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</si>
  <si>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</si>
  <si>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</si>
  <si>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</si>
  <si>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</si>
  <si>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</si>
  <si>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</si>
  <si>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</si>
  <si>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</si>
  <si>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</si>
  <si>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</si>
  <si>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</si>
  <si>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</si>
  <si>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</si>
  <si>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</si>
  <si>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</si>
  <si>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</si>
  <si>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</si>
  <si>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</si>
  <si>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</si>
  <si>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</si>
  <si>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</si>
  <si>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</si>
  <si>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</si>
  <si>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</si>
  <si>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</si>
  <si>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</si>
  <si>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</si>
  <si>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</si>
  <si>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</si>
  <si>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</si>
  <si>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</si>
  <si>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</si>
  <si>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</si>
  <si>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</si>
  <si>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</si>
  <si>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</si>
  <si>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</si>
  <si>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</si>
  <si>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</si>
  <si>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</si>
  <si>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</si>
  <si>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</si>
  <si>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</si>
  <si>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</si>
  <si>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</si>
  <si>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</si>
  <si>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</si>
  <si>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</si>
  <si>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</si>
  <si>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</si>
  <si>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</si>
  <si>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</si>
  <si>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</si>
  <si>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</si>
  <si>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</si>
  <si>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</si>
  <si>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</si>
  <si>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</si>
  <si>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</si>
  <si>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</si>
  <si>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</si>
  <si>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</si>
  <si>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</si>
  <si>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</si>
  <si>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</si>
  <si>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</si>
  <si>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</si>
  <si>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</si>
  <si>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</si>
  <si>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</si>
  <si>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</si>
  <si>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</si>
  <si>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</si>
  <si>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</si>
  <si>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</si>
  <si>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</si>
  <si>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</si>
  <si>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</si>
  <si>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</si>
  <si>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</si>
  <si>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</si>
  <si>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</si>
  <si>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</si>
  <si>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</si>
  <si>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</si>
  <si>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</si>
  <si>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</si>
  <si>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</si>
  <si>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</si>
  <si>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</si>
  <si>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</si>
  <si>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</si>
  <si>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</si>
  <si>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</si>
  <si>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</si>
  <si>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</si>
  <si>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</si>
  <si>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</si>
  <si>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</si>
  <si>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</si>
  <si>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</si>
  <si>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</si>
  <si>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</si>
  <si>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</si>
  <si>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</si>
  <si>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</si>
  <si>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</si>
  <si>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</si>
  <si>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</si>
  <si>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</si>
  <si>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</si>
  <si>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</si>
  <si>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</si>
  <si>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</si>
  <si>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</si>
  <si>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</si>
  <si>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</si>
  <si>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</si>
  <si>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</si>
  <si>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</si>
  <si>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</si>
  <si>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</si>
  <si>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</si>
  <si>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</si>
  <si>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</si>
  <si>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</si>
  <si>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</si>
  <si>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</si>
  <si>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</si>
  <si>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</si>
  <si>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</si>
  <si>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</si>
  <si>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</si>
  <si>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</si>
  <si>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</si>
  <si>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</si>
  <si>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</si>
  <si>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</si>
  <si>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</si>
  <si>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</si>
  <si>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</si>
  <si>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</si>
  <si>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</si>
  <si>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</si>
  <si>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</si>
  <si>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</si>
  <si>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</si>
  <si>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</si>
  <si>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</si>
  <si>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</si>
  <si>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</si>
  <si>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</si>
  <si>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</si>
  <si>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</si>
  <si>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</si>
  <si>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</si>
  <si>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</si>
  <si>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</si>
  <si>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</si>
  <si>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</si>
  <si>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</si>
  <si>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</si>
  <si>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</si>
  <si>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</si>
  <si>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</si>
  <si>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</si>
  <si>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</si>
  <si>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</si>
  <si>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</si>
  <si>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</si>
  <si>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</si>
  <si>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</si>
  <si>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</si>
  <si>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</si>
  <si>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</si>
  <si>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</si>
  <si>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</si>
  <si>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</si>
  <si>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</si>
  <si>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</si>
  <si>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</si>
  <si>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</si>
  <si>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</si>
  <si>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</si>
  <si>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</si>
  <si>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</si>
  <si>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</si>
  <si>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</si>
  <si>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</si>
  <si>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</si>
  <si>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</si>
  <si>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</si>
  <si>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</si>
  <si>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</si>
  <si>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</si>
  <si>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</si>
  <si>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</si>
  <si>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</si>
  <si>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</si>
  <si>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</si>
  <si>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</si>
  <si>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</si>
  <si>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</si>
  <si>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</si>
  <si>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</si>
  <si>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</si>
  <si>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</si>
  <si>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</si>
  <si>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</si>
  <si>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</si>
  <si>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</si>
  <si>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</si>
  <si>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</si>
  <si>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</si>
  <si>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</si>
  <si>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</si>
  <si>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</si>
  <si>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</si>
  <si>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</si>
  <si>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</si>
  <si>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</si>
  <si>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</si>
  <si>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</si>
  <si>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</si>
  <si>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</si>
  <si>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</si>
  <si>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</si>
  <si>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</si>
  <si>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</si>
  <si>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</si>
  <si>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</si>
  <si>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</si>
  <si>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</si>
  <si>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</si>
  <si>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</si>
  <si>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</si>
  <si>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</si>
  <si>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</si>
  <si>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</si>
  <si>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</si>
  <si>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</si>
  <si>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</si>
  <si>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</si>
  <si>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</si>
  <si>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</si>
  <si>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</si>
  <si>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</si>
  <si>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</si>
  <si>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</si>
  <si>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</si>
  <si>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</si>
  <si>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</si>
  <si>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</si>
  <si>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</si>
  <si>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</si>
  <si>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</si>
  <si>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</si>
  <si>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</si>
  <si>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</si>
  <si>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</si>
  <si>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</si>
  <si>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</si>
  <si>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</si>
  <si>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</si>
  <si>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</si>
  <si>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</si>
  <si>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</si>
  <si>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</si>
  <si>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</si>
  <si>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</si>
  <si>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</si>
  <si>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</si>
  <si>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</si>
  <si>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</si>
  <si>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</si>
  <si>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</si>
  <si>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</si>
  <si>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</si>
  <si>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</si>
  <si>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</si>
  <si>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</si>
  <si>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</si>
  <si>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</si>
  <si>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</si>
  <si>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</si>
  <si>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</si>
  <si>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</si>
  <si>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</si>
  <si>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</si>
  <si>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</si>
  <si>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</si>
  <si>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</si>
  <si>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</si>
  <si>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</si>
  <si>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</si>
  <si>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</si>
  <si>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</si>
  <si>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</si>
  <si>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</si>
  <si>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</si>
  <si>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</si>
  <si>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</si>
  <si>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</si>
  <si>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</si>
  <si>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</si>
  <si>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</si>
  <si>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</si>
  <si>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</si>
  <si>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</si>
  <si>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</si>
  <si>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</si>
  <si>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</si>
  <si>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</si>
  <si>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</si>
  <si>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</si>
  <si>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</si>
  <si>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</si>
  <si>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</si>
  <si>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</si>
  <si>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</si>
  <si>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</si>
  <si>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</si>
  <si>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</si>
  <si>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</si>
  <si>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</si>
  <si>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</si>
  <si>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</si>
  <si>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</si>
  <si>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</si>
  <si>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</si>
  <si>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</si>
  <si>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</si>
  <si>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</si>
  <si>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</si>
  <si>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</si>
  <si>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</si>
  <si>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</si>
  <si>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</si>
  <si>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</si>
  <si>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</si>
  <si>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</si>
  <si>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</si>
  <si>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</si>
  <si>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</si>
  <si>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</si>
  <si>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</si>
  <si>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</si>
  <si>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</si>
  <si>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</si>
  <si>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</si>
  <si>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</si>
  <si>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</si>
  <si>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</si>
  <si>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</si>
  <si>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</si>
  <si>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</si>
  <si>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</si>
  <si>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</si>
  <si>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</si>
  <si>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</si>
  <si>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</si>
  <si>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</si>
  <si>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</si>
  <si>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</si>
  <si>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</si>
  <si>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</si>
  <si>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</si>
  <si>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</si>
  <si>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</si>
  <si>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</si>
  <si>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</si>
  <si>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</si>
  <si>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</si>
  <si>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</si>
  <si>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</si>
  <si>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</si>
  <si>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</si>
  <si>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</si>
  <si>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</si>
  <si>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</si>
  <si>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</si>
  <si>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</si>
  <si>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</si>
  <si>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</si>
  <si>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</si>
  <si>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</si>
  <si>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</si>
  <si>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</si>
  <si>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</si>
  <si>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</si>
  <si>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</si>
  <si>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</si>
  <si>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</si>
  <si>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</si>
  <si>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</si>
  <si>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</si>
  <si>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</si>
  <si>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</si>
  <si>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</si>
  <si>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</si>
  <si>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</si>
  <si>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</si>
  <si>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</si>
  <si>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</si>
  <si>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</si>
  <si>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</si>
  <si>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</si>
  <si>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</si>
  <si>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</si>
  <si>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</si>
  <si>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</si>
  <si>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</si>
  <si>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</si>
  <si>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</si>
  <si>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</si>
  <si>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</si>
  <si>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</si>
  <si>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</si>
  <si>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</si>
  <si>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</si>
  <si>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</si>
  <si>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</si>
  <si>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</si>
  <si>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</si>
  <si>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</si>
  <si>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</si>
  <si>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</si>
  <si>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</si>
  <si>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</si>
  <si>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</si>
  <si>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</si>
  <si>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</si>
  <si>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</si>
  <si>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</si>
  <si>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</si>
  <si>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</si>
  <si>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</si>
  <si>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</si>
  <si>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</si>
  <si>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</si>
  <si>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</si>
  <si>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</si>
  <si>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</si>
  <si>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</si>
  <si>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</si>
  <si>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</si>
  <si>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</si>
  <si>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</si>
  <si>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</si>
  <si>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</si>
  <si>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</si>
  <si>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</si>
  <si>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</si>
  <si>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</si>
  <si>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</si>
  <si>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</si>
  <si>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</si>
  <si>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</si>
  <si>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</si>
  <si>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</si>
  <si>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</si>
  <si>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</si>
  <si>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</si>
  <si>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</si>
  <si>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</si>
  <si>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</si>
  <si>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</si>
  <si>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</si>
  <si>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</si>
  <si>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</si>
  <si>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</si>
  <si>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</si>
  <si>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</si>
  <si>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</si>
  <si>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</si>
  <si>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</si>
  <si>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</si>
  <si>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</si>
  <si>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</si>
  <si>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</si>
  <si>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</si>
  <si>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</si>
  <si>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</si>
  <si>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</si>
  <si>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</si>
  <si>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</si>
  <si>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</si>
  <si>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</si>
  <si>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</si>
  <si>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</si>
  <si>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</si>
  <si>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</si>
  <si>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</si>
  <si>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</si>
  <si>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</si>
  <si>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</si>
  <si>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</si>
  <si>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</si>
  <si>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</si>
  <si>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</si>
  <si>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</si>
  <si>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</si>
  <si>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</si>
  <si>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</si>
  <si>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</si>
  <si>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</si>
  <si>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</si>
  <si>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</si>
  <si>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</si>
  <si>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</si>
  <si>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</si>
  <si>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</si>
  <si>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</si>
  <si>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</si>
  <si>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</si>
  <si>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</si>
  <si>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</si>
  <si>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</si>
  <si>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</si>
  <si>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</si>
  <si>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</si>
  <si>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</si>
  <si>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</si>
  <si>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</si>
  <si>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</si>
  <si>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</si>
  <si>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</si>
  <si>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</si>
  <si>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</si>
  <si>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</si>
  <si>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</si>
  <si>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</si>
  <si>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</si>
  <si>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</si>
  <si>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</si>
  <si>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</si>
  <si>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</si>
  <si>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</si>
  <si>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</si>
  <si>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</si>
  <si>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</si>
  <si>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</si>
  <si>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</si>
  <si>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</si>
  <si>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</si>
  <si>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</si>
  <si>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</si>
  <si>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</si>
  <si>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</si>
  <si>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</si>
  <si>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</si>
  <si>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</si>
  <si>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</si>
  <si>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</si>
  <si>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</si>
  <si>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</si>
  <si>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</si>
  <si>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</si>
  <si>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</si>
  <si>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</si>
  <si>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</si>
  <si>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</si>
  <si>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</si>
  <si>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</si>
  <si>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</si>
  <si>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</si>
  <si>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</si>
  <si>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</si>
  <si>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</si>
  <si>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</si>
  <si>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</si>
  <si>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</si>
  <si>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</si>
  <si>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</si>
  <si>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</si>
  <si>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</si>
  <si>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</si>
  <si>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</si>
  <si>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</si>
  <si>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</si>
  <si>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</si>
  <si>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</si>
  <si>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</si>
  <si>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</si>
  <si>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</si>
  <si>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</si>
  <si>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</si>
  <si>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</si>
  <si>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</si>
  <si>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</si>
  <si>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</si>
  <si>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</si>
  <si>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</si>
  <si>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</si>
  <si>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</si>
  <si>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</si>
  <si>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</si>
  <si>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</si>
  <si>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</si>
  <si>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</si>
  <si>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</si>
  <si>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</si>
  <si>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</si>
  <si>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</si>
  <si>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</si>
  <si>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</si>
  <si>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</si>
  <si>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</si>
  <si>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</si>
  <si>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</si>
  <si>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</si>
  <si>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</si>
  <si>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</si>
  <si>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</si>
  <si>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</si>
  <si>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</si>
  <si>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</si>
  <si>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</si>
  <si>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</si>
  <si>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</si>
  <si>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</si>
  <si>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</si>
  <si>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</si>
  <si>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</si>
  <si>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</si>
  <si>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</si>
  <si>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</si>
  <si>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</si>
  <si>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</si>
  <si>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</si>
  <si>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</si>
  <si>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</si>
  <si>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</si>
  <si>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</si>
  <si>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</si>
  <si>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</si>
  <si>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</si>
  <si>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</si>
  <si>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</si>
  <si>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</si>
  <si>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</si>
  <si>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</si>
  <si>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</si>
  <si>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</si>
  <si>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</si>
  <si>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</si>
  <si>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</si>
  <si>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</si>
  <si>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</si>
  <si>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</si>
  <si>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</si>
  <si>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</si>
  <si>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</si>
  <si>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</si>
  <si>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</si>
  <si>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</si>
  <si>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</si>
  <si>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</si>
  <si>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</si>
  <si>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</si>
  <si>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</si>
  <si>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</si>
  <si>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</si>
  <si>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</si>
  <si>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</si>
  <si>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</si>
  <si>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</si>
  <si>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</si>
  <si>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</si>
  <si>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</si>
  <si>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</si>
  <si>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</si>
  <si>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</si>
  <si>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</si>
  <si>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</si>
  <si>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</si>
  <si>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</si>
  <si>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</si>
  <si>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</si>
  <si>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</si>
  <si>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</si>
  <si>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</si>
  <si>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</si>
  <si>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</si>
  <si>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</si>
  <si>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</si>
  <si>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</si>
  <si>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</si>
  <si>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</si>
  <si>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</si>
  <si>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</si>
  <si>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</si>
  <si>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</si>
  <si>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</si>
  <si>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</si>
  <si>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</si>
  <si>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</si>
  <si>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</si>
  <si>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</si>
  <si>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</si>
  <si>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</si>
  <si>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</si>
  <si>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</si>
  <si>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</si>
  <si>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</si>
  <si>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</si>
  <si>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</si>
  <si>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</si>
  <si>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</si>
  <si>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</si>
  <si>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</si>
  <si>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</si>
  <si>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</si>
  <si>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</si>
  <si>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</si>
  <si>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</si>
  <si>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</si>
  <si>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</si>
  <si>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</si>
  <si>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</si>
  <si>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</si>
  <si>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</si>
  <si>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</si>
  <si>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</si>
  <si>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</si>
  <si>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</si>
  <si>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</si>
  <si>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</si>
  <si>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</si>
  <si>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</si>
  <si>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</si>
  <si>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</si>
  <si>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</si>
  <si>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</si>
  <si>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</si>
  <si>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</si>
  <si>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</si>
  <si>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</si>
  <si>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</si>
  <si>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</si>
  <si>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</si>
  <si>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</si>
  <si>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</si>
  <si>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</si>
  <si>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</si>
  <si>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</si>
  <si>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</si>
  <si>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</si>
  <si>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</si>
  <si>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</si>
  <si>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</si>
  <si>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</si>
  <si>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</si>
  <si>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</si>
  <si>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</si>
  <si>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</si>
  <si>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</si>
  <si>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</si>
  <si>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</si>
  <si>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</si>
  <si>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</si>
  <si>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</si>
  <si>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</si>
  <si>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</si>
  <si>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</si>
  <si>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</si>
  <si>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</si>
  <si>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</si>
  <si>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</si>
  <si>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</si>
  <si>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</si>
  <si>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</si>
  <si>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</si>
  <si>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</si>
  <si>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</si>
  <si>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</si>
  <si>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</si>
  <si>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</si>
  <si>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</si>
  <si>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</si>
  <si>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</si>
  <si>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</si>
  <si>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</si>
  <si>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</si>
  <si>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</si>
  <si>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</si>
  <si>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</si>
  <si>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</si>
  <si>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</si>
  <si>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</si>
  <si>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</si>
  <si>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</si>
  <si>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</si>
  <si>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</si>
  <si>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</si>
  <si>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</si>
  <si>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</si>
  <si>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</si>
  <si>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</si>
  <si>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</si>
  <si>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</si>
  <si>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</si>
  <si>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</si>
  <si>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</si>
  <si>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</si>
  <si>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</si>
  <si>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</si>
  <si>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</si>
  <si>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</si>
  <si>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</si>
  <si>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</si>
  <si>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</si>
  <si>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</si>
  <si>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</si>
  <si>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</si>
  <si>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</si>
  <si>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</si>
  <si>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</si>
  <si>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</si>
  <si>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</si>
  <si>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</si>
  <si>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</si>
  <si>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</si>
  <si>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</si>
  <si>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</si>
  <si>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</si>
  <si>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</si>
  <si>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</si>
  <si>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</si>
  <si>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</si>
  <si>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</si>
  <si>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</si>
  <si>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</si>
  <si>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</si>
  <si>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</si>
  <si>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</si>
  <si>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</si>
  <si>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</si>
  <si>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</si>
  <si>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</si>
  <si>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</si>
  <si>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</si>
  <si>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</si>
  <si>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</si>
  <si>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</si>
  <si>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</si>
  <si>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</si>
  <si>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</si>
  <si>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</si>
  <si>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</si>
  <si>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</si>
  <si>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</si>
  <si>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</si>
  <si>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</si>
  <si>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</si>
  <si>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</si>
  <si>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</si>
  <si>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</si>
  <si>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</si>
  <si>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</si>
  <si>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</si>
  <si>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</si>
  <si>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</si>
  <si>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</si>
  <si>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</si>
  <si>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</si>
  <si>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</si>
  <si>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</si>
  <si>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</si>
  <si>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</si>
  <si>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</si>
  <si>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</si>
  <si>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</si>
  <si>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</si>
  <si>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</si>
  <si>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</si>
  <si>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</si>
  <si>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</si>
  <si>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</si>
  <si>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</si>
  <si>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</si>
  <si>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</si>
  <si>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</si>
  <si>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</si>
  <si>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</si>
  <si>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</si>
  <si>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</si>
  <si>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</si>
  <si>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</si>
  <si>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</si>
  <si>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</si>
  <si>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</si>
  <si>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</si>
  <si>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</si>
  <si>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</si>
  <si>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</si>
  <si>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</si>
  <si>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</si>
  <si>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</si>
  <si>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</si>
  <si>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</si>
  <si>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</si>
  <si>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</si>
  <si>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</si>
  <si>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</si>
  <si>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</si>
  <si>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</si>
  <si>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</si>
  <si>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</si>
  <si>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</si>
  <si>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</si>
  <si>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</si>
  <si>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</si>
  <si>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</si>
  <si>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</si>
  <si>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</si>
  <si>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</si>
  <si>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</si>
  <si>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</si>
  <si>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</si>
  <si>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</si>
  <si>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</si>
  <si>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</si>
  <si>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</si>
  <si>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</si>
  <si>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</si>
  <si>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</si>
  <si>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</si>
  <si>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</si>
  <si>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</si>
  <si>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</si>
  <si>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</si>
  <si>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</si>
  <si>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</si>
  <si>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</si>
  <si>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</si>
  <si>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</si>
  <si>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</si>
  <si>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</si>
  <si>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</si>
  <si>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</si>
  <si>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</si>
  <si>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</si>
  <si>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</si>
  <si>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</si>
  <si>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</si>
  <si>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</si>
  <si>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</si>
  <si>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</si>
  <si>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</si>
  <si>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</si>
  <si>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</si>
  <si>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</si>
  <si>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</si>
  <si>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</si>
  <si>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</si>
  <si>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</si>
  <si>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</si>
  <si>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</si>
  <si>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</si>
  <si>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</si>
  <si>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</si>
  <si>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</si>
  <si>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</si>
  <si>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</si>
  <si>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</si>
  <si>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</si>
  <si>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</si>
  <si>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</si>
  <si>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</si>
  <si>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</si>
  <si>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</si>
  <si>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</si>
  <si>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</si>
  <si>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</si>
  <si>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</si>
  <si>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</si>
  <si>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</si>
  <si>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</si>
  <si>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</si>
  <si>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</si>
  <si>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</si>
  <si>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</si>
  <si>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</si>
  <si>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</si>
  <si>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</si>
  <si>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</si>
  <si>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</si>
  <si>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</si>
  <si>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</si>
  <si>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</si>
  <si>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</si>
  <si>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</si>
  <si>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</si>
  <si>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</si>
  <si>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</si>
  <si>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</si>
  <si>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</si>
  <si>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</si>
  <si>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</si>
  <si>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</si>
  <si>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</si>
  <si>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</si>
  <si>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</si>
  <si>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</si>
  <si>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</si>
  <si>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</si>
  <si>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</si>
  <si>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</si>
  <si>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</si>
  <si>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</si>
  <si>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</si>
  <si>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</si>
  <si>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</si>
  <si>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</si>
  <si>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</si>
  <si>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</si>
  <si>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</si>
  <si>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</si>
  <si>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</si>
  <si>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</si>
  <si>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</si>
  <si>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</si>
  <si>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</si>
  <si>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</si>
  <si>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</si>
  <si>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</si>
  <si>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</si>
  <si>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</si>
  <si>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</si>
  <si>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</si>
  <si>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</si>
  <si>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</si>
  <si>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</si>
  <si>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</si>
  <si>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</si>
  <si>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</si>
  <si>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</si>
  <si>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</si>
  <si>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</si>
  <si>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</si>
  <si>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</si>
  <si>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</si>
  <si>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</si>
  <si>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</si>
  <si>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</si>
  <si>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</si>
  <si>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</si>
  <si>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</si>
  <si>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</si>
  <si>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</si>
  <si>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</si>
  <si>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</si>
  <si>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</si>
  <si>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</si>
  <si>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</si>
  <si>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</si>
  <si>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</si>
  <si>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</si>
  <si>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</si>
  <si>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</si>
  <si>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</si>
  <si>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</si>
  <si>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</si>
  <si>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</si>
  <si>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31-045-0460-46</t>
  </si>
  <si>
    <t>Kane</t>
  </si>
  <si>
    <t>Northern Kane Co. Reg. Career and Tech. Ed. System</t>
  </si>
  <si>
    <t xml:space="preserve">355 E. Chicago St. </t>
  </si>
  <si>
    <t>Eligin</t>
  </si>
  <si>
    <t>60120-6543</t>
  </si>
  <si>
    <t>RSM US LLP</t>
  </si>
  <si>
    <t>One South Wacker Dr, Ste 800</t>
  </si>
  <si>
    <t>Chicago</t>
  </si>
  <si>
    <t>IL</t>
  </si>
  <si>
    <t>Jeff King - Chief Operating Officer/CSBO</t>
  </si>
  <si>
    <t>jeffking@u-46.org</t>
  </si>
  <si>
    <t>847-888-5000</t>
  </si>
  <si>
    <t>847-608-2777</t>
  </si>
  <si>
    <t>SD#300, SD#303, SD U-46 and CCSD#301</t>
  </si>
  <si>
    <t>SD# 300, SD# 303, SD U-46 and CCSD# 301</t>
  </si>
  <si>
    <t>Revenues 9-14 - 4799 - CTE Perkins - Secondary</t>
  </si>
  <si>
    <t>AUDITCHECK #10 - Unreserved Fund Balance, P5 Cells C39:H39 must be &gt; 0 - This amount equals $0</t>
  </si>
  <si>
    <t>AUDITCHECK #11 Fund (10) ED: Account 3998 must be entered - This joint agreement does not receive On Behalf funds</t>
  </si>
  <si>
    <t xml:space="preserve"> INFO@U-46.ORG</t>
  </si>
  <si>
    <t>10-2200-300</t>
  </si>
  <si>
    <t>Nicholas Moran</t>
  </si>
  <si>
    <t>ED-Support Services: Instructional Staff-Purchased Services</t>
  </si>
  <si>
    <t>John George</t>
  </si>
  <si>
    <t>John.George@rsmus.com</t>
  </si>
  <si>
    <t>See AFR opinion on Opinion pg</t>
  </si>
  <si>
    <t>AFR opinion</t>
  </si>
  <si>
    <t>GAS Financial Statements</t>
  </si>
  <si>
    <t>Signed cover pg and AC32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</si>
</sst>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cellStyleXfs>
  <cellXfs count="250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56" fillId="0" borderId="0" xfId="0" applyFont="1" applyAlignment="1">
      <alignment wrapText="1"/>
    </xf>
    <xf numFmtId="164" fontId="56" fillId="0" borderId="0" xfId="0" applyNumberFormat="1" applyFont="1" applyAlignment="1">
      <alignment vertical="top"/>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3" xfId="20"/>
    <cellStyle name="Normal 3 3"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914400</xdr:colOff>
          <xdr:row>10</xdr:row>
          <xdr:rowOff>38100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0</xdr:col>
          <xdr:colOff>914400</xdr:colOff>
          <xdr:row>15</xdr:row>
          <xdr:rowOff>38100</xdr:rowOff>
        </xdr:to>
        <xdr:sp macro="" textlink="">
          <xdr:nvSpPr>
            <xdr:cNvPr id="50180" name="Object 4" hidden="1">
              <a:extLst>
                <a:ext uri="{63B3BB69-23CF-44E3-9099-C40C66FF867C}">
                  <a14:compatExt spid="_x0000_s501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914400</xdr:colOff>
          <xdr:row>4</xdr:row>
          <xdr:rowOff>38100</xdr:rowOff>
        </xdr:to>
        <xdr:sp macro="" textlink="">
          <xdr:nvSpPr>
            <xdr:cNvPr id="50181" name="Object 5" hidden="1">
              <a:extLst>
                <a:ext uri="{63B3BB69-23CF-44E3-9099-C40C66FF867C}">
                  <a14:compatExt spid="_x0000_s501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B48"/>
  <sheetViews>
    <sheetView showGridLines="0" tabSelected="1" view="pageBreakPreview" zoomScale="90" zoomScaleNormal="85" zoomScaleSheetLayoutView="90" workbookViewId="0">
      <selection activeCell="AJ10" sqref="AJ10"/>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3" t="s">
        <v>425</v>
      </c>
      <c r="J1" s="2004"/>
      <c r="K1" s="2004"/>
      <c r="L1" s="2004"/>
      <c r="M1" s="2004"/>
      <c r="N1" s="2004"/>
      <c r="O1" s="2004"/>
      <c r="P1" s="2004"/>
      <c r="Q1" s="2004"/>
      <c r="R1" s="2004"/>
      <c r="S1" s="2004"/>
    </row>
    <row r="2" spans="1:28" ht="12" customHeight="1" x14ac:dyDescent="0.2">
      <c r="A2" s="47" t="s">
        <v>1684</v>
      </c>
      <c r="D2" s="48"/>
      <c r="I2" s="2005" t="s">
        <v>1036</v>
      </c>
      <c r="J2" s="2004"/>
      <c r="K2" s="2004"/>
      <c r="L2" s="2004"/>
      <c r="M2" s="2004"/>
      <c r="N2" s="2004"/>
      <c r="O2" s="2004"/>
      <c r="P2" s="2004"/>
      <c r="Q2" s="2004"/>
      <c r="R2" s="2004"/>
      <c r="S2" s="2004"/>
    </row>
    <row r="3" spans="1:28" ht="12" customHeight="1" x14ac:dyDescent="0.2">
      <c r="A3" s="155" t="s">
        <v>1685</v>
      </c>
      <c r="B3" s="156"/>
      <c r="C3" s="156"/>
      <c r="D3" s="157"/>
      <c r="I3" s="2005" t="s">
        <v>54</v>
      </c>
      <c r="J3" s="2004"/>
      <c r="K3" s="2004"/>
      <c r="L3" s="2004"/>
      <c r="M3" s="2004"/>
      <c r="N3" s="2004"/>
      <c r="O3" s="2004"/>
      <c r="P3" s="2004"/>
      <c r="Q3" s="2004"/>
      <c r="R3" s="2004"/>
      <c r="S3" s="2004"/>
    </row>
    <row r="4" spans="1:28" ht="12" customHeight="1" x14ac:dyDescent="0.2">
      <c r="A4" s="37"/>
      <c r="I4" s="2005" t="s">
        <v>545</v>
      </c>
      <c r="J4" s="2004"/>
      <c r="K4" s="2004"/>
      <c r="L4" s="2004"/>
      <c r="M4" s="2004"/>
      <c r="N4" s="2004"/>
      <c r="O4" s="2004"/>
      <c r="P4" s="2004"/>
      <c r="Q4" s="2004"/>
      <c r="R4" s="2004"/>
      <c r="S4" s="2004"/>
    </row>
    <row r="5" spans="1:28" ht="14.1" customHeight="1" x14ac:dyDescent="0.2">
      <c r="B5" s="104"/>
      <c r="C5" s="26" t="s">
        <v>966</v>
      </c>
      <c r="D5" s="84"/>
      <c r="E5" s="84"/>
      <c r="H5" s="38"/>
      <c r="I5" s="2013" t="s">
        <v>701</v>
      </c>
      <c r="J5" s="2012"/>
      <c r="K5" s="2012"/>
      <c r="L5" s="2012"/>
      <c r="M5" s="2012"/>
      <c r="N5" s="2012"/>
      <c r="O5" s="2012"/>
      <c r="P5" s="2012"/>
      <c r="Q5" s="2012"/>
      <c r="R5" s="2012"/>
      <c r="S5" s="2012"/>
    </row>
    <row r="6" spans="1:28" ht="14.1" customHeight="1" x14ac:dyDescent="0.2">
      <c r="B6" s="104" t="s">
        <v>2077</v>
      </c>
      <c r="C6" s="26" t="s">
        <v>967</v>
      </c>
      <c r="D6" s="84"/>
      <c r="E6" s="84"/>
      <c r="I6" s="2011" t="s">
        <v>938</v>
      </c>
      <c r="J6" s="2012"/>
      <c r="K6" s="2012"/>
      <c r="L6" s="2012"/>
      <c r="M6" s="2012"/>
      <c r="N6" s="2012"/>
      <c r="O6" s="2012"/>
      <c r="P6" s="2012"/>
      <c r="Q6" s="2012"/>
      <c r="R6" s="2012"/>
      <c r="S6" s="2012"/>
    </row>
    <row r="7" spans="1:28" ht="12.2" customHeight="1" x14ac:dyDescent="0.2">
      <c r="I7" s="2006">
        <v>43281</v>
      </c>
      <c r="J7" s="2007"/>
      <c r="K7" s="2007"/>
      <c r="L7" s="2007"/>
      <c r="M7" s="2007"/>
      <c r="N7" s="2007"/>
      <c r="O7" s="2007"/>
      <c r="P7" s="2007"/>
      <c r="Q7" s="2007"/>
      <c r="R7" s="2007"/>
      <c r="S7" s="200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8" t="s">
        <v>695</v>
      </c>
      <c r="J9" s="2009"/>
      <c r="K9" s="2009"/>
      <c r="L9" s="2009"/>
      <c r="M9" s="2009"/>
      <c r="N9" s="2009"/>
      <c r="O9" s="2009"/>
      <c r="P9" s="2009"/>
      <c r="Q9" s="2009"/>
      <c r="R9" s="2009"/>
      <c r="S9" s="2010"/>
      <c r="T9" s="2024" t="s">
        <v>554</v>
      </c>
      <c r="U9" s="2025"/>
      <c r="V9" s="2025"/>
      <c r="W9" s="2025"/>
      <c r="X9" s="2025"/>
      <c r="Y9" s="2025"/>
      <c r="Z9" s="2025"/>
      <c r="AA9" s="2026"/>
    </row>
    <row r="10" spans="1:28" ht="13.5" customHeight="1" x14ac:dyDescent="0.2">
      <c r="A10" s="2031" t="s">
        <v>696</v>
      </c>
      <c r="B10" s="2032"/>
      <c r="C10" s="2032"/>
      <c r="D10" s="2032"/>
      <c r="E10" s="2032"/>
      <c r="F10" s="2032"/>
      <c r="G10" s="2032"/>
      <c r="H10" s="2033"/>
      <c r="I10" s="29"/>
      <c r="J10" s="30"/>
      <c r="K10" s="28"/>
      <c r="R10" s="30"/>
      <c r="S10" s="30"/>
      <c r="T10" s="2027"/>
      <c r="U10" s="2012"/>
      <c r="V10" s="2012"/>
      <c r="W10" s="2012"/>
      <c r="X10" s="2012"/>
      <c r="Y10" s="2012"/>
      <c r="Z10" s="2012"/>
      <c r="AA10" s="2018"/>
    </row>
    <row r="11" spans="1:28" ht="14.25" customHeight="1" x14ac:dyDescent="0.2">
      <c r="A11" s="2034" t="s">
        <v>1012</v>
      </c>
      <c r="B11" s="2035"/>
      <c r="C11" s="2035"/>
      <c r="D11" s="2035"/>
      <c r="E11" s="2035"/>
      <c r="F11" s="2035"/>
      <c r="G11" s="2035"/>
      <c r="H11" s="2036"/>
      <c r="I11" s="27"/>
      <c r="J11" s="74"/>
      <c r="K11" s="27"/>
      <c r="O11" s="148" t="s">
        <v>2077</v>
      </c>
      <c r="P11" s="100" t="s">
        <v>210</v>
      </c>
      <c r="Q11" s="30"/>
      <c r="R11" s="28"/>
      <c r="S11" s="27"/>
      <c r="T11" s="2028"/>
      <c r="U11" s="2029"/>
      <c r="V11" s="2029"/>
      <c r="W11" s="2029"/>
      <c r="X11" s="2029"/>
      <c r="Y11" s="2029"/>
      <c r="Z11" s="2029"/>
      <c r="AA11" s="203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8" t="s">
        <v>2078</v>
      </c>
      <c r="B13" s="2039"/>
      <c r="C13" s="2039"/>
      <c r="D13" s="2039"/>
      <c r="E13" s="2039"/>
      <c r="F13" s="2039"/>
      <c r="G13" s="2039"/>
      <c r="H13" s="2040"/>
      <c r="I13" s="31"/>
      <c r="J13" s="30"/>
      <c r="K13" s="28"/>
      <c r="L13" s="30"/>
      <c r="M13" s="30"/>
      <c r="N13" s="30"/>
      <c r="O13" s="30"/>
      <c r="P13" s="30"/>
      <c r="Q13" s="30"/>
      <c r="R13" s="30"/>
      <c r="S13" s="30"/>
      <c r="T13" s="2043" t="s">
        <v>2084</v>
      </c>
      <c r="U13" s="2044"/>
      <c r="V13" s="2044"/>
      <c r="W13" s="2044"/>
      <c r="X13" s="2044"/>
      <c r="Y13" s="2045"/>
      <c r="Z13" s="2045"/>
      <c r="AA13" s="204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7" t="s">
        <v>2079</v>
      </c>
      <c r="B15" s="2041"/>
      <c r="C15" s="2041"/>
      <c r="D15" s="2041"/>
      <c r="E15" s="2041"/>
      <c r="F15" s="2041"/>
      <c r="G15" s="2041"/>
      <c r="H15" s="2042"/>
      <c r="T15" s="2047" t="s">
        <v>2101</v>
      </c>
      <c r="U15" s="1991"/>
      <c r="V15" s="1991"/>
      <c r="W15" s="1991"/>
      <c r="X15" s="1991"/>
      <c r="Y15" s="2048"/>
      <c r="Z15" s="2048"/>
      <c r="AA15" s="204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7" t="s">
        <v>2080</v>
      </c>
      <c r="B17" s="1998"/>
      <c r="C17" s="1998"/>
      <c r="D17" s="1998"/>
      <c r="E17" s="1998"/>
      <c r="F17" s="1998"/>
      <c r="G17" s="1998"/>
      <c r="H17" s="2023"/>
      <c r="T17" s="2054" t="s">
        <v>2085</v>
      </c>
      <c r="U17" s="2055"/>
      <c r="V17" s="2055"/>
      <c r="W17" s="2055"/>
      <c r="X17" s="2055"/>
      <c r="Y17" s="2055"/>
      <c r="Z17" s="2055"/>
      <c r="AA17" s="2056"/>
    </row>
    <row r="18" spans="1:27" ht="13.5" customHeight="1" x14ac:dyDescent="0.2">
      <c r="A18" s="85" t="s">
        <v>551</v>
      </c>
      <c r="B18" s="76"/>
      <c r="C18" s="72"/>
      <c r="D18" s="76"/>
      <c r="E18" s="76"/>
      <c r="F18" s="76"/>
      <c r="G18" s="76"/>
      <c r="H18" s="56"/>
      <c r="I18" s="2022" t="s">
        <v>697</v>
      </c>
      <c r="J18" s="1973"/>
      <c r="K18" s="1973"/>
      <c r="L18" s="1973"/>
      <c r="M18" s="1973"/>
      <c r="N18" s="1973"/>
      <c r="O18" s="1973"/>
      <c r="P18" s="1973"/>
      <c r="Q18" s="1973"/>
      <c r="R18" s="1973"/>
      <c r="S18" s="1974"/>
      <c r="T18" s="85" t="s">
        <v>735</v>
      </c>
      <c r="U18" s="51"/>
      <c r="V18" s="72"/>
      <c r="W18" s="50"/>
      <c r="X18" s="85" t="s">
        <v>284</v>
      </c>
      <c r="Y18" s="81"/>
      <c r="Z18" s="159" t="s">
        <v>698</v>
      </c>
      <c r="AA18" s="46"/>
    </row>
    <row r="19" spans="1:27" ht="13.5" customHeight="1" x14ac:dyDescent="0.2">
      <c r="A19" s="2037" t="s">
        <v>2081</v>
      </c>
      <c r="B19" s="1983"/>
      <c r="C19" s="1983"/>
      <c r="D19" s="1983"/>
      <c r="E19" s="1983"/>
      <c r="F19" s="1983"/>
      <c r="G19" s="1983"/>
      <c r="H19" s="1963"/>
      <c r="I19" s="30"/>
      <c r="J19" s="99"/>
      <c r="K19" s="40"/>
      <c r="L19" s="38"/>
      <c r="M19" s="112" t="s">
        <v>333</v>
      </c>
      <c r="P19" s="27"/>
      <c r="Q19" s="27"/>
      <c r="R19" s="27"/>
      <c r="S19" s="31"/>
      <c r="T19" s="2037" t="s">
        <v>2086</v>
      </c>
      <c r="U19" s="1962"/>
      <c r="V19" s="1962"/>
      <c r="W19" s="1963"/>
      <c r="X19" s="2052" t="s">
        <v>2087</v>
      </c>
      <c r="Y19" s="2053"/>
      <c r="Z19" s="2050">
        <v>60606</v>
      </c>
      <c r="AA19" s="205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1" t="s">
        <v>2082</v>
      </c>
      <c r="B21" s="1962"/>
      <c r="C21" s="1962"/>
      <c r="D21" s="1962"/>
      <c r="E21" s="1962"/>
      <c r="F21" s="1962"/>
      <c r="G21" s="1962"/>
      <c r="H21" s="1963"/>
      <c r="I21" s="2017" t="s">
        <v>699</v>
      </c>
      <c r="J21" s="2012"/>
      <c r="K21" s="2012"/>
      <c r="L21" s="2012"/>
      <c r="M21" s="2012"/>
      <c r="N21" s="2012"/>
      <c r="O21" s="2012"/>
      <c r="P21" s="2012"/>
      <c r="Q21" s="2012"/>
      <c r="R21" s="2012"/>
      <c r="S21" s="2018"/>
      <c r="T21" s="2061">
        <v>3126344402</v>
      </c>
      <c r="U21" s="2062"/>
      <c r="V21" s="2062"/>
      <c r="W21" s="2062"/>
      <c r="X21" s="2067">
        <v>3126345523</v>
      </c>
      <c r="Y21" s="2068"/>
      <c r="Z21" s="2068"/>
      <c r="AA21" s="2069"/>
    </row>
    <row r="22" spans="1:27" ht="13.5" customHeight="1" x14ac:dyDescent="0.2">
      <c r="A22" s="87" t="s">
        <v>552</v>
      </c>
      <c r="B22" s="59"/>
      <c r="C22" s="59"/>
      <c r="D22" s="59"/>
      <c r="E22" s="59"/>
      <c r="F22" s="59"/>
      <c r="G22" s="59"/>
      <c r="H22" s="60"/>
      <c r="I22" s="2019" t="s">
        <v>1504</v>
      </c>
      <c r="J22" s="2020"/>
      <c r="K22" s="2020"/>
      <c r="L22" s="2020"/>
      <c r="M22" s="2020"/>
      <c r="N22" s="2020"/>
      <c r="O22" s="2020"/>
      <c r="P22" s="2020"/>
      <c r="Q22" s="2020"/>
      <c r="R22" s="2020"/>
      <c r="S22" s="2021"/>
      <c r="T22" s="85" t="s">
        <v>1596</v>
      </c>
      <c r="U22" s="51"/>
      <c r="V22" s="72"/>
      <c r="W22" s="51"/>
      <c r="X22" s="160" t="s">
        <v>1385</v>
      </c>
      <c r="Z22" s="45"/>
      <c r="AA22" s="46"/>
    </row>
    <row r="23" spans="1:27" ht="13.5" customHeight="1" x14ac:dyDescent="0.2">
      <c r="A23" s="2014" t="s">
        <v>2097</v>
      </c>
      <c r="B23" s="2015"/>
      <c r="C23" s="2015"/>
      <c r="D23" s="2015"/>
      <c r="E23" s="2015"/>
      <c r="F23" s="2015"/>
      <c r="G23" s="2015"/>
      <c r="H23" s="2016"/>
      <c r="T23" s="1997">
        <v>66003346</v>
      </c>
      <c r="U23" s="2060"/>
      <c r="V23" s="2060"/>
      <c r="W23" s="2060"/>
      <c r="X23" s="2064">
        <v>44530</v>
      </c>
      <c r="Y23" s="2065"/>
      <c r="Z23" s="2065"/>
      <c r="AA23" s="2066"/>
    </row>
    <row r="24" spans="1:27" ht="14.1" customHeight="1" x14ac:dyDescent="0.2">
      <c r="A24" s="88" t="s">
        <v>698</v>
      </c>
      <c r="B24" s="49"/>
      <c r="C24" s="49"/>
      <c r="D24" s="49"/>
      <c r="E24" s="49"/>
      <c r="F24" s="49"/>
      <c r="G24" s="49"/>
      <c r="H24" s="61"/>
      <c r="J24" s="1984" t="str">
        <f>IF(B5="x",IF(AUDITCHECK!D29="AFR form Incomplete.","",IF(AUDITCHECK!D29="Deficit reduction plan is required.","School District must complete a deficit reduction plan in the 2018-2019 Budget",)),"")</f>
        <v/>
      </c>
      <c r="K24" s="1984"/>
      <c r="L24" s="1984"/>
      <c r="M24" s="1984"/>
      <c r="N24" s="1984"/>
      <c r="O24" s="1984"/>
      <c r="P24" s="1984"/>
      <c r="Q24" s="1984"/>
      <c r="R24" s="1984"/>
      <c r="S24" s="1985"/>
      <c r="T24" s="105" t="s">
        <v>552</v>
      </c>
      <c r="U24" s="106"/>
      <c r="V24" s="106"/>
      <c r="W24" s="106"/>
      <c r="X24" s="107"/>
      <c r="Y24" s="107"/>
      <c r="Z24" s="107"/>
      <c r="AA24" s="108"/>
    </row>
    <row r="25" spans="1:27" ht="14.1" customHeight="1" x14ac:dyDescent="0.2">
      <c r="A25" s="1961" t="s">
        <v>2083</v>
      </c>
      <c r="B25" s="1962"/>
      <c r="C25" s="1962"/>
      <c r="D25" s="1962"/>
      <c r="E25" s="1962"/>
      <c r="F25" s="1962"/>
      <c r="G25" s="1962"/>
      <c r="H25" s="1963"/>
      <c r="I25" s="113"/>
      <c r="J25" s="1986"/>
      <c r="K25" s="1986"/>
      <c r="L25" s="1986"/>
      <c r="M25" s="1986"/>
      <c r="N25" s="1986"/>
      <c r="O25" s="1986"/>
      <c r="P25" s="1986"/>
      <c r="Q25" s="1986"/>
      <c r="R25" s="1986"/>
      <c r="S25" s="1987"/>
      <c r="T25" s="2057" t="s">
        <v>2102</v>
      </c>
      <c r="U25" s="2058"/>
      <c r="V25" s="2058"/>
      <c r="W25" s="2058"/>
      <c r="X25" s="2058"/>
      <c r="Y25" s="2058"/>
      <c r="Z25" s="2058"/>
      <c r="AA25" s="20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2" t="s">
        <v>1591</v>
      </c>
      <c r="J27" s="1973"/>
      <c r="K27" s="1973"/>
      <c r="L27" s="1973"/>
      <c r="M27" s="1973"/>
      <c r="N27" s="1973"/>
      <c r="O27" s="1973"/>
      <c r="P27" s="1973"/>
      <c r="Q27" s="1973"/>
      <c r="R27" s="1973"/>
      <c r="S27" s="197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3"/>
      <c r="Q35" s="1962"/>
      <c r="R35" s="196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7" t="s">
        <v>2088</v>
      </c>
      <c r="B38" s="1998"/>
      <c r="C38" s="1998"/>
      <c r="D38" s="1998"/>
      <c r="E38" s="1998"/>
      <c r="F38" s="1962"/>
      <c r="G38" s="1962"/>
      <c r="H38" s="1963"/>
      <c r="I38" s="1990"/>
      <c r="J38" s="1991"/>
      <c r="K38" s="1991"/>
      <c r="L38" s="1991"/>
      <c r="M38" s="1991"/>
      <c r="N38" s="1991"/>
      <c r="O38" s="1991"/>
      <c r="P38" s="1992"/>
      <c r="Q38" s="1992"/>
      <c r="R38" s="1992"/>
      <c r="S38" s="1993"/>
      <c r="T38" s="2047"/>
      <c r="U38" s="1991"/>
      <c r="V38" s="1991"/>
      <c r="W38" s="1991"/>
      <c r="X38" s="1992"/>
      <c r="Y38" s="1992"/>
      <c r="Z38" s="1992"/>
      <c r="AA38" s="1993"/>
    </row>
    <row r="39" spans="1:27" ht="12" customHeight="1" x14ac:dyDescent="0.2">
      <c r="A39" s="1967" t="s">
        <v>552</v>
      </c>
      <c r="B39" s="1968"/>
      <c r="C39" s="72"/>
      <c r="D39" s="69"/>
      <c r="E39" s="69"/>
      <c r="F39" s="79"/>
      <c r="G39" s="69"/>
      <c r="H39" s="56"/>
      <c r="I39" s="1967" t="s">
        <v>552</v>
      </c>
      <c r="J39" s="1968"/>
      <c r="K39" s="1968"/>
      <c r="L39" s="1968"/>
      <c r="M39" s="1968"/>
      <c r="N39" s="67"/>
      <c r="O39" s="72"/>
      <c r="P39" s="72"/>
      <c r="Q39" s="78"/>
      <c r="R39" s="72"/>
      <c r="S39" s="56"/>
      <c r="T39" s="72" t="s">
        <v>552</v>
      </c>
      <c r="U39" s="51"/>
      <c r="V39" s="72"/>
      <c r="W39" s="50"/>
      <c r="X39" s="78"/>
      <c r="Y39" s="45"/>
      <c r="Z39" s="45"/>
      <c r="AA39" s="46"/>
    </row>
    <row r="40" spans="1:27" ht="13.5" customHeight="1" x14ac:dyDescent="0.2">
      <c r="A40" s="1975" t="s">
        <v>2089</v>
      </c>
      <c r="B40" s="1976"/>
      <c r="C40" s="1977"/>
      <c r="D40" s="1977"/>
      <c r="E40" s="1977"/>
      <c r="F40" s="1978"/>
      <c r="G40" s="1978"/>
      <c r="H40" s="1979"/>
      <c r="I40" s="2000"/>
      <c r="J40" s="2001"/>
      <c r="K40" s="2001"/>
      <c r="L40" s="2001"/>
      <c r="M40" s="2001"/>
      <c r="N40" s="2001"/>
      <c r="O40" s="2001"/>
      <c r="P40" s="2001"/>
      <c r="Q40" s="2001"/>
      <c r="R40" s="2001"/>
      <c r="S40" s="2002"/>
      <c r="T40" s="2000"/>
      <c r="U40" s="2063"/>
      <c r="V40" s="2001"/>
      <c r="W40" s="2001"/>
      <c r="X40" s="2001"/>
      <c r="Y40" s="2001"/>
      <c r="Z40" s="2001"/>
      <c r="AA40" s="200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9" t="s">
        <v>2090</v>
      </c>
      <c r="B42" s="1981"/>
      <c r="C42" s="1982"/>
      <c r="D42" s="1980" t="s">
        <v>2091</v>
      </c>
      <c r="E42" s="1981"/>
      <c r="F42" s="1981"/>
      <c r="G42" s="1981"/>
      <c r="H42" s="1982"/>
      <c r="I42" s="1964"/>
      <c r="J42" s="1965"/>
      <c r="K42" s="1965"/>
      <c r="L42" s="1965"/>
      <c r="M42" s="1965"/>
      <c r="N42" s="1965"/>
      <c r="O42" s="1966"/>
      <c r="P42" s="1999"/>
      <c r="Q42" s="1965"/>
      <c r="R42" s="1965"/>
      <c r="S42" s="1966"/>
      <c r="T42" s="1964"/>
      <c r="U42" s="1965"/>
      <c r="V42" s="1965"/>
      <c r="W42" s="1966"/>
      <c r="X42" s="1999"/>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4"/>
      <c r="B44" s="1995"/>
      <c r="C44" s="1995"/>
      <c r="D44" s="1995"/>
      <c r="E44" s="1995"/>
      <c r="F44" s="1995"/>
      <c r="G44" s="1995"/>
      <c r="H44" s="1996"/>
      <c r="I44" s="1969"/>
      <c r="J44" s="1970"/>
      <c r="K44" s="1970"/>
      <c r="L44" s="1970"/>
      <c r="M44" s="1970"/>
      <c r="N44" s="1970"/>
      <c r="O44" s="1970"/>
      <c r="P44" s="1970"/>
      <c r="Q44" s="1970"/>
      <c r="R44" s="1970"/>
      <c r="S44" s="1971"/>
      <c r="T44" s="1969"/>
      <c r="U44" s="1988"/>
      <c r="V44" s="1988"/>
      <c r="W44" s="1988"/>
      <c r="X44" s="1988"/>
      <c r="Y44" s="1988"/>
      <c r="Z44" s="1970"/>
      <c r="AA44" s="197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79998168889431442"/>
  </sheetPr>
  <dimension ref="A1:F36"/>
  <sheetViews>
    <sheetView showGridLines="0" defaultGridColor="0" view="pageBreakPreview" colorId="8" zoomScale="60" zoomScaleNormal="110" workbookViewId="0"/>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3" t="s">
        <v>1905</v>
      </c>
      <c r="B2" s="1550" t="s">
        <v>2035</v>
      </c>
      <c r="C2" s="715" t="s">
        <v>1910</v>
      </c>
      <c r="D2" s="715" t="s">
        <v>1911</v>
      </c>
      <c r="E2" s="715" t="s">
        <v>1912</v>
      </c>
      <c r="F2" s="715" t="s">
        <v>1913</v>
      </c>
    </row>
    <row r="3" spans="1:6" ht="12" customHeight="1" x14ac:dyDescent="0.2">
      <c r="A3" s="2204"/>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79998168889431442"/>
    <pageSetUpPr fitToPage="1"/>
  </sheetPr>
  <dimension ref="A1:K59"/>
  <sheetViews>
    <sheetView showGridLines="0" defaultGridColor="0" view="pageBreakPreview" topLeftCell="A19" colorId="8" zoomScale="6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5" t="s">
        <v>650</v>
      </c>
      <c r="B1" s="2223"/>
      <c r="C1" s="722"/>
    </row>
    <row r="2" spans="1:7" ht="33.75" x14ac:dyDescent="0.2">
      <c r="A2" s="2230" t="s">
        <v>1905</v>
      </c>
      <c r="B2" s="2231"/>
      <c r="C2" s="1909" t="s">
        <v>2036</v>
      </c>
      <c r="D2" s="724" t="s">
        <v>2043</v>
      </c>
      <c r="E2" s="724" t="s">
        <v>2044</v>
      </c>
      <c r="F2" s="1909" t="s">
        <v>2037</v>
      </c>
    </row>
    <row r="3" spans="1:7" ht="15.75" customHeight="1" x14ac:dyDescent="0.2">
      <c r="A3" s="2232" t="s">
        <v>1176</v>
      </c>
      <c r="B3" s="2233"/>
      <c r="C3" s="2226"/>
      <c r="D3" s="2227"/>
      <c r="E3" s="2227"/>
      <c r="F3" s="2228"/>
    </row>
    <row r="4" spans="1:7" ht="12.75" customHeight="1" thickBot="1" x14ac:dyDescent="0.25">
      <c r="A4" s="2220" t="s">
        <v>651</v>
      </c>
      <c r="B4" s="2221"/>
      <c r="C4" s="581"/>
      <c r="D4" s="581"/>
      <c r="E4" s="581"/>
      <c r="F4" s="1777">
        <f>SUM(C4+D4)-E4</f>
        <v>0</v>
      </c>
    </row>
    <row r="5" spans="1:7" ht="15.75" customHeight="1" thickTop="1" x14ac:dyDescent="0.2">
      <c r="A5" s="2224" t="s">
        <v>1172</v>
      </c>
      <c r="B5" s="2219"/>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6" t="s">
        <v>652</v>
      </c>
      <c r="B15" s="2217"/>
      <c r="C15" s="1777">
        <f>SUM(C6:C14)</f>
        <v>0</v>
      </c>
      <c r="D15" s="1777">
        <f>SUM(D6:D14)</f>
        <v>0</v>
      </c>
      <c r="E15" s="1777">
        <f>SUM(E6:E14)</f>
        <v>0</v>
      </c>
      <c r="F15" s="1777">
        <f>SUM(F6:F14)</f>
        <v>0</v>
      </c>
      <c r="G15" s="552"/>
    </row>
    <row r="16" spans="1:7" s="202" customFormat="1" ht="15.75" customHeight="1" thickTop="1" x14ac:dyDescent="0.2">
      <c r="A16" s="2229" t="s">
        <v>1173</v>
      </c>
      <c r="B16" s="2219"/>
      <c r="C16" s="2213"/>
      <c r="D16" s="2214"/>
      <c r="E16" s="2214"/>
      <c r="F16" s="2215"/>
    </row>
    <row r="17" spans="1:11" ht="12.75" customHeight="1" thickBot="1" x14ac:dyDescent="0.25">
      <c r="A17" s="2211" t="s">
        <v>66</v>
      </c>
      <c r="B17" s="2212"/>
      <c r="C17" s="727"/>
      <c r="D17" s="585"/>
      <c r="E17" s="727"/>
      <c r="F17" s="1777">
        <f>SUM(C17+D17)-E17</f>
        <v>0</v>
      </c>
    </row>
    <row r="18" spans="1:11" ht="12.75" customHeight="1" thickTop="1" thickBot="1" x14ac:dyDescent="0.25">
      <c r="A18" s="2211" t="s">
        <v>6</v>
      </c>
      <c r="B18" s="2212"/>
      <c r="C18" s="727"/>
      <c r="D18" s="585"/>
      <c r="E18" s="727"/>
      <c r="F18" s="1777">
        <f>SUM(C18+D18)-E18</f>
        <v>0</v>
      </c>
    </row>
    <row r="19" spans="1:11" ht="12.75" customHeight="1" thickTop="1" thickBot="1" x14ac:dyDescent="0.25">
      <c r="A19" s="2211" t="s">
        <v>406</v>
      </c>
      <c r="B19" s="2212"/>
      <c r="C19" s="727"/>
      <c r="D19" s="585"/>
      <c r="E19" s="727"/>
      <c r="F19" s="1777">
        <f>SUM(C19+D19)-E19</f>
        <v>0</v>
      </c>
    </row>
    <row r="20" spans="1:11" ht="12.75" customHeight="1" thickTop="1" thickBot="1" x14ac:dyDescent="0.25">
      <c r="A20" s="2211" t="s">
        <v>468</v>
      </c>
      <c r="B20" s="2212"/>
      <c r="C20" s="727"/>
      <c r="D20" s="585"/>
      <c r="E20" s="727"/>
      <c r="F20" s="1777">
        <f>SUM(C20+D20)-E20</f>
        <v>0</v>
      </c>
    </row>
    <row r="21" spans="1:11" ht="14.25" thickTop="1" thickBot="1" x14ac:dyDescent="0.25">
      <c r="A21" s="2216" t="s">
        <v>653</v>
      </c>
      <c r="B21" s="2217"/>
      <c r="C21" s="1777">
        <f>SUM(C17:C20)</f>
        <v>0</v>
      </c>
      <c r="D21" s="1777">
        <f>SUM(D17:D20)</f>
        <v>0</v>
      </c>
      <c r="E21" s="1777">
        <f>SUM(E17:E20)</f>
        <v>0</v>
      </c>
      <c r="F21" s="1777">
        <f>SUM(F17:F20)</f>
        <v>0</v>
      </c>
      <c r="G21" s="552"/>
    </row>
    <row r="22" spans="1:11" ht="15.75" customHeight="1" thickTop="1" x14ac:dyDescent="0.2">
      <c r="A22" s="2218" t="s">
        <v>1174</v>
      </c>
      <c r="B22" s="2219"/>
      <c r="C22" s="2213"/>
      <c r="D22" s="2214"/>
      <c r="E22" s="2214"/>
      <c r="F22" s="2215"/>
    </row>
    <row r="23" spans="1:11" ht="13.5" thickBot="1" x14ac:dyDescent="0.25">
      <c r="A23" s="2220" t="s">
        <v>654</v>
      </c>
      <c r="B23" s="2221"/>
      <c r="C23" s="581"/>
      <c r="D23" s="581"/>
      <c r="E23" s="581"/>
      <c r="F23" s="1777">
        <f>SUM(C23+D23)-E23</f>
        <v>0</v>
      </c>
      <c r="G23" s="552"/>
    </row>
    <row r="24" spans="1:11" ht="15.75" customHeight="1" thickTop="1" x14ac:dyDescent="0.2">
      <c r="A24" s="2218" t="s">
        <v>1175</v>
      </c>
      <c r="B24" s="2219"/>
      <c r="C24" s="2213"/>
      <c r="D24" s="2214"/>
      <c r="E24" s="2214"/>
      <c r="F24" s="2215"/>
    </row>
    <row r="25" spans="1:11" ht="13.5" thickBot="1" x14ac:dyDescent="0.25">
      <c r="A25" s="2220" t="s">
        <v>655</v>
      </c>
      <c r="B25" s="2221"/>
      <c r="C25" s="581"/>
      <c r="D25" s="581"/>
      <c r="E25" s="581"/>
      <c r="F25" s="1777">
        <f>SUM(C25+D25)-E25</f>
        <v>0</v>
      </c>
      <c r="G25" s="552"/>
    </row>
    <row r="26" spans="1:11" ht="15.75" customHeight="1" thickTop="1" x14ac:dyDescent="0.2">
      <c r="A26" s="2224" t="s">
        <v>678</v>
      </c>
      <c r="B26" s="2219"/>
      <c r="C26" s="728"/>
      <c r="D26" s="728"/>
      <c r="E26" s="728"/>
      <c r="F26" s="729"/>
    </row>
    <row r="27" spans="1:11" ht="13.5" thickBot="1" x14ac:dyDescent="0.25">
      <c r="A27" s="2216" t="s">
        <v>1130</v>
      </c>
      <c r="B27" s="2217"/>
      <c r="C27" s="585"/>
      <c r="D27" s="585"/>
      <c r="E27" s="585"/>
      <c r="F27" s="1777">
        <f>SUM(C27+D27)-E27</f>
        <v>0</v>
      </c>
      <c r="G27" s="552"/>
    </row>
    <row r="28" spans="1:11" ht="7.5" customHeight="1" thickTop="1" x14ac:dyDescent="0.2">
      <c r="A28" s="594"/>
    </row>
    <row r="29" spans="1:11" ht="23.25" customHeight="1" x14ac:dyDescent="0.2">
      <c r="A29" s="2222" t="s">
        <v>603</v>
      </c>
      <c r="B29" s="2223"/>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5" t="s">
        <v>605</v>
      </c>
      <c r="C52" s="2206"/>
      <c r="D52" s="2206"/>
      <c r="E52" s="750" t="s">
        <v>900</v>
      </c>
      <c r="F52" s="2207"/>
      <c r="G52" s="2208"/>
      <c r="H52" s="737"/>
      <c r="I52" s="737"/>
      <c r="J52" s="747"/>
    </row>
    <row r="53" spans="1:11" ht="11.25" customHeight="1" x14ac:dyDescent="0.2">
      <c r="A53" s="751" t="s">
        <v>969</v>
      </c>
      <c r="B53" s="752" t="s">
        <v>1008</v>
      </c>
      <c r="C53" s="747"/>
      <c r="D53" s="738"/>
      <c r="E53" s="750" t="s">
        <v>518</v>
      </c>
      <c r="F53" s="2209"/>
      <c r="G53" s="2210"/>
      <c r="H53" s="737"/>
      <c r="I53" s="737"/>
      <c r="J53" s="747"/>
    </row>
    <row r="54" spans="1:11" ht="11.25" customHeight="1" x14ac:dyDescent="0.2">
      <c r="A54" s="753" t="s">
        <v>970</v>
      </c>
      <c r="B54" s="748" t="s">
        <v>1009</v>
      </c>
      <c r="C54" s="747"/>
      <c r="D54" s="738"/>
      <c r="E54" s="750" t="s">
        <v>519</v>
      </c>
      <c r="F54" s="2209"/>
      <c r="G54" s="221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tint="0.79998168889431442"/>
  </sheetPr>
  <dimension ref="A1:K48"/>
  <sheetViews>
    <sheetView showGridLines="0" defaultGridColor="0" view="pageBreakPreview" topLeftCell="A10" colorId="8" zoomScale="130" zoomScaleNormal="110" zoomScaleSheetLayoutView="130" workbookViewId="0">
      <selection activeCell="F25" sqref="F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911</v>
      </c>
      <c r="B1" s="2235"/>
      <c r="C1" s="2235"/>
      <c r="D1" s="2235"/>
      <c r="E1" s="2235"/>
      <c r="F1" s="2235"/>
      <c r="G1" s="2236"/>
      <c r="H1" s="1552"/>
      <c r="I1" s="761"/>
      <c r="J1" s="433"/>
    </row>
    <row r="2" spans="1:11" ht="26.25" x14ac:dyDescent="0.2">
      <c r="A2" s="2253" t="s">
        <v>1776</v>
      </c>
      <c r="B2" s="2254"/>
      <c r="C2" s="2254"/>
      <c r="D2" s="2254"/>
      <c r="E2" s="2255"/>
      <c r="F2" s="762" t="s">
        <v>960</v>
      </c>
      <c r="G2" s="763" t="s">
        <v>1773</v>
      </c>
      <c r="H2" s="763" t="s">
        <v>430</v>
      </c>
      <c r="I2" s="763" t="s">
        <v>1220</v>
      </c>
      <c r="J2" s="763" t="s">
        <v>1919</v>
      </c>
      <c r="K2" s="763" t="s">
        <v>140</v>
      </c>
    </row>
    <row r="3" spans="1:11" x14ac:dyDescent="0.2">
      <c r="A3" s="2256" t="s">
        <v>1698</v>
      </c>
      <c r="B3" s="2257"/>
      <c r="C3" s="2257"/>
      <c r="D3" s="2257"/>
      <c r="E3" s="2258"/>
      <c r="F3" s="764"/>
      <c r="G3" s="765"/>
      <c r="H3" s="765"/>
      <c r="I3" s="765"/>
      <c r="J3" s="766"/>
      <c r="K3" s="766"/>
    </row>
    <row r="4" spans="1:11" x14ac:dyDescent="0.2">
      <c r="A4" s="2259" t="s">
        <v>387</v>
      </c>
      <c r="B4" s="2260"/>
      <c r="C4" s="2260"/>
      <c r="D4" s="2260"/>
      <c r="E4" s="2206"/>
      <c r="F4" s="767"/>
      <c r="G4" s="768"/>
      <c r="H4" s="769"/>
      <c r="I4" s="768"/>
      <c r="J4" s="770"/>
      <c r="K4" s="770"/>
    </row>
    <row r="5" spans="1:11" x14ac:dyDescent="0.2">
      <c r="A5" s="2237" t="s">
        <v>1129</v>
      </c>
      <c r="B5" s="2238"/>
      <c r="C5" s="2238"/>
      <c r="D5" s="2238"/>
      <c r="E5" s="2239"/>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7" t="s">
        <v>1920</v>
      </c>
      <c r="B10" s="2238"/>
      <c r="C10" s="2238"/>
      <c r="D10" s="2238"/>
      <c r="E10" s="2240"/>
      <c r="F10" s="784" t="s">
        <v>917</v>
      </c>
      <c r="G10" s="783"/>
      <c r="H10" s="785"/>
      <c r="I10" s="765"/>
      <c r="J10" s="766"/>
      <c r="K10" s="766"/>
    </row>
    <row r="11" spans="1:11" x14ac:dyDescent="0.2">
      <c r="A11" s="2237" t="s">
        <v>162</v>
      </c>
      <c r="B11" s="2238"/>
      <c r="C11" s="2238"/>
      <c r="D11" s="2238"/>
      <c r="E11" s="2239"/>
      <c r="F11" s="771" t="s">
        <v>907</v>
      </c>
      <c r="G11" s="772"/>
      <c r="H11" s="765"/>
      <c r="I11" s="765"/>
      <c r="J11" s="766"/>
      <c r="K11" s="774"/>
    </row>
    <row r="12" spans="1:11" ht="13.5" thickBot="1" x14ac:dyDescent="0.25">
      <c r="A12" s="2264" t="s">
        <v>961</v>
      </c>
      <c r="B12" s="2265"/>
      <c r="C12" s="2265"/>
      <c r="D12" s="2265"/>
      <c r="E12" s="2266"/>
      <c r="F12" s="1779"/>
      <c r="G12" s="1780">
        <f>SUM(G5:G11)</f>
        <v>0</v>
      </c>
      <c r="H12" s="1780">
        <f>SUM(H5:H11)</f>
        <v>0</v>
      </c>
      <c r="I12" s="1780">
        <f>SUM(I5:I11)</f>
        <v>0</v>
      </c>
      <c r="J12" s="1780">
        <f>SUM(J5:J11)</f>
        <v>0</v>
      </c>
      <c r="K12" s="1780">
        <f>SUM(K5:K11)</f>
        <v>0</v>
      </c>
    </row>
    <row r="13" spans="1:11" ht="13.5" thickTop="1" x14ac:dyDescent="0.2">
      <c r="A13" s="2261" t="s">
        <v>388</v>
      </c>
      <c r="B13" s="2262"/>
      <c r="C13" s="2262"/>
      <c r="D13" s="2262"/>
      <c r="E13" s="2263"/>
      <c r="F13" s="786"/>
      <c r="G13" s="787"/>
      <c r="H13" s="788"/>
      <c r="I13" s="789"/>
      <c r="J13" s="789"/>
      <c r="K13" s="789"/>
    </row>
    <row r="14" spans="1:11" x14ac:dyDescent="0.2">
      <c r="A14" s="2244" t="s">
        <v>476</v>
      </c>
      <c r="B14" s="2244"/>
      <c r="C14" s="2244"/>
      <c r="D14" s="2244"/>
      <c r="E14" s="2245"/>
      <c r="F14" s="790" t="s">
        <v>909</v>
      </c>
      <c r="G14" s="783"/>
      <c r="H14" s="765"/>
      <c r="I14" s="772"/>
      <c r="J14" s="774"/>
      <c r="K14" s="766"/>
    </row>
    <row r="15" spans="1:11" x14ac:dyDescent="0.2">
      <c r="A15" s="2238" t="s">
        <v>4</v>
      </c>
      <c r="B15" s="2238"/>
      <c r="C15" s="2238"/>
      <c r="D15" s="2238"/>
      <c r="E15" s="2239"/>
      <c r="F15" s="790" t="s">
        <v>910</v>
      </c>
      <c r="G15" s="772"/>
      <c r="H15" s="765"/>
      <c r="I15" s="765"/>
      <c r="J15" s="766"/>
      <c r="K15" s="766"/>
    </row>
    <row r="16" spans="1:11" x14ac:dyDescent="0.2">
      <c r="A16" s="2238" t="s">
        <v>316</v>
      </c>
      <c r="B16" s="2238"/>
      <c r="C16" s="2238"/>
      <c r="D16" s="2238"/>
      <c r="E16" s="2239"/>
      <c r="F16" s="790" t="s">
        <v>980</v>
      </c>
      <c r="G16" s="773"/>
      <c r="H16" s="768"/>
      <c r="I16" s="768"/>
      <c r="J16" s="770"/>
      <c r="K16" s="770"/>
    </row>
    <row r="17" spans="1:11" x14ac:dyDescent="0.2">
      <c r="A17" s="2269" t="s">
        <v>992</v>
      </c>
      <c r="B17" s="2269"/>
      <c r="C17" s="2269"/>
      <c r="D17" s="2269"/>
      <c r="E17" s="2270"/>
      <c r="F17" s="791"/>
      <c r="G17" s="792"/>
      <c r="H17" s="793"/>
      <c r="I17" s="793"/>
      <c r="J17" s="794"/>
      <c r="K17" s="795"/>
    </row>
    <row r="18" spans="1:11" x14ac:dyDescent="0.2">
      <c r="A18" s="2248" t="s">
        <v>386</v>
      </c>
      <c r="B18" s="2249"/>
      <c r="C18" s="2249"/>
      <c r="D18" s="2249"/>
      <c r="E18" s="2250"/>
      <c r="F18" s="790" t="s">
        <v>989</v>
      </c>
      <c r="G18" s="783"/>
      <c r="H18" s="783"/>
      <c r="I18" s="783"/>
      <c r="J18" s="766"/>
      <c r="K18" s="796"/>
    </row>
    <row r="19" spans="1:11" ht="21.75" customHeight="1" x14ac:dyDescent="0.2">
      <c r="A19" s="2246" t="s">
        <v>1916</v>
      </c>
      <c r="B19" s="2246"/>
      <c r="C19" s="2246"/>
      <c r="D19" s="2246"/>
      <c r="E19" s="2247"/>
      <c r="F19" s="790" t="s">
        <v>990</v>
      </c>
      <c r="G19" s="783"/>
      <c r="H19" s="783"/>
      <c r="I19" s="783"/>
      <c r="J19" s="766"/>
      <c r="K19" s="796"/>
    </row>
    <row r="20" spans="1:11" x14ac:dyDescent="0.2">
      <c r="A20" s="2248" t="s">
        <v>1921</v>
      </c>
      <c r="B20" s="2249"/>
      <c r="C20" s="2249"/>
      <c r="D20" s="2249"/>
      <c r="E20" s="2250"/>
      <c r="F20" s="790" t="s">
        <v>991</v>
      </c>
      <c r="G20" s="783"/>
      <c r="H20" s="783"/>
      <c r="I20" s="783"/>
      <c r="J20" s="766"/>
      <c r="K20" s="796"/>
    </row>
    <row r="21" spans="1:11" ht="13.5" thickBot="1" x14ac:dyDescent="0.25">
      <c r="A21" s="2267" t="s">
        <v>659</v>
      </c>
      <c r="B21" s="2267"/>
      <c r="C21" s="2267"/>
      <c r="D21" s="2267"/>
      <c r="E21" s="2267"/>
      <c r="F21" s="1781"/>
      <c r="G21" s="793"/>
      <c r="H21" s="797"/>
      <c r="I21" s="797"/>
      <c r="J21" s="1782">
        <f>SUM(J18:J20)</f>
        <v>0</v>
      </c>
      <c r="K21" s="794"/>
    </row>
    <row r="22" spans="1:11" ht="13.5" thickTop="1" x14ac:dyDescent="0.2">
      <c r="A22" s="2238" t="s">
        <v>1922</v>
      </c>
      <c r="B22" s="2238"/>
      <c r="C22" s="2238"/>
      <c r="D22" s="2238"/>
      <c r="E22" s="2239"/>
      <c r="F22" s="790" t="s">
        <v>917</v>
      </c>
      <c r="G22" s="783"/>
      <c r="H22" s="765"/>
      <c r="I22" s="765"/>
      <c r="J22" s="798"/>
      <c r="K22" s="766"/>
    </row>
    <row r="23" spans="1:11" ht="13.5" thickBot="1" x14ac:dyDescent="0.25">
      <c r="A23" s="2268" t="s">
        <v>962</v>
      </c>
      <c r="B23" s="2267"/>
      <c r="C23" s="2267"/>
      <c r="D23" s="2267"/>
      <c r="E23" s="2267"/>
      <c r="F23" s="1783"/>
      <c r="G23" s="1780">
        <f>SUM(G14:G16,G21,G22)</f>
        <v>0</v>
      </c>
      <c r="H23" s="1780">
        <f>SUM(H14:H16,H21,H22)</f>
        <v>0</v>
      </c>
      <c r="I23" s="1780">
        <f>SUM(I14:I16,I21,I22)</f>
        <v>0</v>
      </c>
      <c r="J23" s="1780">
        <f>SUM(J14:J16,J21,J22)</f>
        <v>0</v>
      </c>
      <c r="K23" s="1780">
        <f>SUM(K14:K16,K21,K22)</f>
        <v>0</v>
      </c>
    </row>
    <row r="24" spans="1:11" ht="14.25" thickTop="1" thickBot="1" x14ac:dyDescent="0.25">
      <c r="A24" s="2268" t="s">
        <v>2024</v>
      </c>
      <c r="B24" s="2267"/>
      <c r="C24" s="2267"/>
      <c r="D24" s="2267"/>
      <c r="E24" s="2267"/>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1"/>
      <c r="I31" s="2242"/>
      <c r="J31" s="2242"/>
      <c r="K31" s="2242"/>
    </row>
    <row r="32" spans="1:11" x14ac:dyDescent="0.2">
      <c r="A32" s="810"/>
      <c r="B32" s="237"/>
      <c r="C32" s="237"/>
      <c r="D32" s="237"/>
      <c r="E32" s="806"/>
      <c r="F32" s="812" t="s">
        <v>561</v>
      </c>
      <c r="G32" s="765"/>
      <c r="H32" s="2243"/>
      <c r="I32" s="2242"/>
      <c r="J32" s="2242"/>
      <c r="K32" s="2242"/>
    </row>
    <row r="33" spans="1:11" ht="1.5" customHeight="1" x14ac:dyDescent="0.2">
      <c r="A33" s="813" t="s">
        <v>1231</v>
      </c>
      <c r="B33" s="364"/>
      <c r="C33" s="364"/>
      <c r="D33" s="364"/>
      <c r="E33" s="364"/>
      <c r="F33" s="364"/>
      <c r="G33" s="814"/>
      <c r="H33" s="2243"/>
      <c r="I33" s="2242"/>
      <c r="J33" s="2242"/>
      <c r="K33" s="224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8" t="s">
        <v>562</v>
      </c>
      <c r="B41" s="2251"/>
      <c r="C41" s="2251"/>
      <c r="D41" s="2251"/>
      <c r="E41" s="2251"/>
      <c r="F41" s="225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6" tint="0.79998168889431442"/>
  </sheetPr>
  <dimension ref="A1:N27"/>
  <sheetViews>
    <sheetView showGridLines="0" defaultGridColor="0" view="pageBreakPreview" colorId="8" zoomScale="60" zoomScaleNormal="110" workbookViewId="0">
      <selection sqref="A1:C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2033</v>
      </c>
      <c r="B1" s="2274"/>
      <c r="C1" s="2275"/>
      <c r="D1" s="827"/>
      <c r="E1" s="828"/>
      <c r="F1" s="828"/>
      <c r="G1" s="829"/>
      <c r="H1" s="830"/>
      <c r="I1" s="831"/>
      <c r="J1" s="2271"/>
      <c r="K1" s="2272"/>
      <c r="L1" s="2272"/>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c r="D12" s="845"/>
      <c r="E12" s="845"/>
      <c r="F12" s="1782">
        <f>(C12+D12)-E12</f>
        <v>0</v>
      </c>
      <c r="G12" s="844">
        <v>10</v>
      </c>
      <c r="H12" s="766"/>
      <c r="I12" s="766"/>
      <c r="J12" s="766"/>
      <c r="K12" s="1791">
        <f>(H12+I12)-J12</f>
        <v>0</v>
      </c>
      <c r="L12" s="1791">
        <f>F12-K12</f>
        <v>0</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0</v>
      </c>
      <c r="D16" s="1782">
        <f>SUM(D3,D5:D6,D8:D10,D12:D15)</f>
        <v>0</v>
      </c>
      <c r="E16" s="1782">
        <f>SUM(E3,E5:E6,E8:E10,E12:E15)</f>
        <v>0</v>
      </c>
      <c r="F16" s="1782">
        <f>SUM(F3,F5:F6,F8:F10,F12:F15)</f>
        <v>0</v>
      </c>
      <c r="G16" s="844"/>
      <c r="H16" s="1782">
        <f>SUM(H3,H6,H8:H10,H12:H14,)</f>
        <v>0</v>
      </c>
      <c r="I16" s="1782">
        <f>SUM(I3,I6,I8:I10,I12:I14,)</f>
        <v>0</v>
      </c>
      <c r="J16" s="1782">
        <f>SUM(J3,J6,J8:J10,J12:J14,)</f>
        <v>0</v>
      </c>
      <c r="K16" s="1782">
        <f>(H16+I16)-J16</f>
        <v>0</v>
      </c>
      <c r="L16" s="1782">
        <f>F16-K16</f>
        <v>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4210</v>
      </c>
      <c r="G17" s="838">
        <v>10</v>
      </c>
      <c r="H17" s="770"/>
      <c r="I17" s="1791">
        <f>F17/G17</f>
        <v>421</v>
      </c>
      <c r="J17" s="770"/>
      <c r="K17" s="796"/>
      <c r="L17" s="796"/>
    </row>
    <row r="18" spans="1:12" ht="14.25" thickTop="1" thickBot="1" x14ac:dyDescent="0.25">
      <c r="A18" s="1789" t="s">
        <v>706</v>
      </c>
      <c r="B18" s="1790"/>
      <c r="C18" s="772"/>
      <c r="D18" s="772"/>
      <c r="E18" s="772"/>
      <c r="F18" s="851"/>
      <c r="G18" s="852"/>
      <c r="H18" s="774"/>
      <c r="I18" s="1782">
        <f>SUM(I16,I17)</f>
        <v>421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6" tint="0.79998168889431442"/>
  </sheetPr>
  <dimension ref="A1:H206"/>
  <sheetViews>
    <sheetView showGridLines="0" defaultGridColor="0" view="pageBreakPreview" colorId="8" zoomScale="60" zoomScaleNormal="110" workbookViewId="0">
      <pane ySplit="5" topLeftCell="A131" activePane="bottomLeft" state="frozen"/>
      <selection pane="bottomLeft"/>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1699</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1913173</v>
      </c>
      <c r="G8" s="866"/>
    </row>
    <row r="9" spans="1:7" x14ac:dyDescent="0.2">
      <c r="A9" s="870" t="s">
        <v>480</v>
      </c>
      <c r="B9" s="871" t="s">
        <v>1988</v>
      </c>
      <c r="C9" s="872"/>
      <c r="D9" s="870" t="s">
        <v>522</v>
      </c>
      <c r="E9" s="869"/>
      <c r="F9" s="1935">
        <f>'Expenditures 15-22'!K151</f>
        <v>0</v>
      </c>
      <c r="G9" s="873"/>
    </row>
    <row r="10" spans="1:7" x14ac:dyDescent="0.2">
      <c r="A10" s="870" t="s">
        <v>520</v>
      </c>
      <c r="B10" s="871" t="s">
        <v>1989</v>
      </c>
      <c r="C10" s="872"/>
      <c r="D10" s="870" t="s">
        <v>522</v>
      </c>
      <c r="E10" s="869"/>
      <c r="F10" s="1935">
        <f>'Expenditures 15-22'!K174</f>
        <v>0</v>
      </c>
      <c r="G10" s="873"/>
    </row>
    <row r="11" spans="1:7" x14ac:dyDescent="0.2">
      <c r="A11" s="870" t="s">
        <v>481</v>
      </c>
      <c r="B11" s="871" t="s">
        <v>1990</v>
      </c>
      <c r="C11" s="872"/>
      <c r="D11" s="870" t="s">
        <v>522</v>
      </c>
      <c r="E11" s="869"/>
      <c r="F11" s="1935">
        <f>'Expenditures 15-22'!K210</f>
        <v>0</v>
      </c>
      <c r="G11" s="873"/>
    </row>
    <row r="12" spans="1:7" x14ac:dyDescent="0.2">
      <c r="A12" s="870" t="s">
        <v>482</v>
      </c>
      <c r="B12" s="871" t="s">
        <v>1991</v>
      </c>
      <c r="C12" s="872"/>
      <c r="D12" s="870" t="s">
        <v>522</v>
      </c>
      <c r="E12" s="869"/>
      <c r="F12" s="1935">
        <f>'Expenditures 15-22'!K295</f>
        <v>0</v>
      </c>
      <c r="G12" s="873"/>
    </row>
    <row r="13" spans="1:7" x14ac:dyDescent="0.2">
      <c r="A13" s="870" t="s">
        <v>108</v>
      </c>
      <c r="B13" s="871" t="s">
        <v>1992</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1913173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1684326</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4210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0</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1688536</v>
      </c>
      <c r="G76" s="866"/>
    </row>
    <row r="77" spans="1:8" s="894" customFormat="1" ht="12" customHeight="1" thickTop="1" thickBot="1" x14ac:dyDescent="0.25">
      <c r="A77" s="1801"/>
      <c r="B77" s="1798"/>
      <c r="C77" s="1794"/>
      <c r="D77" s="1799" t="s">
        <v>2011</v>
      </c>
      <c r="E77" s="1796"/>
      <c r="F77" s="1802">
        <f>(F14-F76)</f>
        <v>224637</v>
      </c>
      <c r="G77" s="870"/>
    </row>
    <row r="78" spans="1:8" s="894" customFormat="1" ht="12" customHeight="1" thickTop="1" x14ac:dyDescent="0.2">
      <c r="A78" s="1803"/>
      <c r="B78" s="1798"/>
      <c r="C78" s="1794"/>
      <c r="D78" s="1799" t="s">
        <v>2057</v>
      </c>
      <c r="E78" s="1796"/>
      <c r="F78" s="899"/>
      <c r="G78" s="900"/>
      <c r="H78" s="870"/>
    </row>
    <row r="79" spans="1:8" s="894" customFormat="1" ht="12" customHeight="1" thickBot="1" x14ac:dyDescent="0.25">
      <c r="A79" s="1804"/>
      <c r="B79" s="1798"/>
      <c r="C79" s="1794"/>
      <c r="D79" s="1799" t="s">
        <v>2012</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1600180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780431</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2380611</v>
      </c>
    </row>
    <row r="179" spans="1:7" ht="12" customHeight="1" x14ac:dyDescent="0.2">
      <c r="A179" s="1792"/>
      <c r="B179" s="1806"/>
      <c r="C179" s="1807"/>
      <c r="D179" s="1808" t="s">
        <v>2014</v>
      </c>
      <c r="E179" s="1809"/>
      <c r="F179" s="1811">
        <f>'PCTC-OEPP 27-28'!F77-F178</f>
        <v>-2155974</v>
      </c>
    </row>
    <row r="180" spans="1:7" ht="12" customHeight="1" x14ac:dyDescent="0.2">
      <c r="A180" s="1792"/>
      <c r="B180" s="1806"/>
      <c r="C180" s="1807"/>
      <c r="D180" s="1808" t="s">
        <v>1924</v>
      </c>
      <c r="E180" s="1809"/>
      <c r="F180" s="1811">
        <f>'Cap Outlay Deprec 26'!I18</f>
        <v>421</v>
      </c>
    </row>
    <row r="181" spans="1:7" ht="12" customHeight="1" x14ac:dyDescent="0.2">
      <c r="A181" s="1792"/>
      <c r="B181" s="1806"/>
      <c r="C181" s="1807"/>
      <c r="D181" s="1808" t="s">
        <v>2015</v>
      </c>
      <c r="E181" s="1809"/>
      <c r="F181" s="1811">
        <f>F179+F180</f>
        <v>-2155553</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2016</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H141"/>
  <sheetViews>
    <sheetView showGridLines="0" view="pageBreakPreview" zoomScale="60" zoomScaleNormal="85" workbookViewId="0">
      <pane ySplit="16" topLeftCell="A17" activePane="bottomLeft" state="frozen"/>
      <selection pane="bottomLeft"/>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0" t="s">
        <v>1925</v>
      </c>
      <c r="B4" s="2291"/>
      <c r="C4" s="2291"/>
      <c r="D4" s="2291"/>
      <c r="E4" s="2291"/>
      <c r="F4" s="2291"/>
      <c r="G4" s="2292"/>
    </row>
    <row r="5" spans="1:7" x14ac:dyDescent="0.25">
      <c r="A5" s="2293"/>
      <c r="B5" s="2294"/>
      <c r="C5" s="2294"/>
      <c r="D5" s="2294"/>
      <c r="E5" s="2294"/>
      <c r="F5" s="2294"/>
      <c r="G5" s="2295"/>
    </row>
    <row r="6" spans="1:7" ht="18.75" x14ac:dyDescent="0.25">
      <c r="A6" s="1556" t="s">
        <v>1926</v>
      </c>
      <c r="B6" s="1557"/>
      <c r="C6" s="1557"/>
      <c r="D6" s="1557"/>
      <c r="E6" s="1557"/>
      <c r="F6" s="1557"/>
      <c r="G6" s="1558"/>
    </row>
    <row r="7" spans="1:7" ht="30.75" customHeight="1" x14ac:dyDescent="0.25">
      <c r="A7" s="2296" t="s">
        <v>2073</v>
      </c>
      <c r="B7" s="2297"/>
      <c r="C7" s="2297"/>
      <c r="D7" s="2297"/>
      <c r="E7" s="2297"/>
      <c r="F7" s="2297"/>
      <c r="G7" s="2298"/>
    </row>
    <row r="8" spans="1:7" ht="15.75" customHeight="1" x14ac:dyDescent="0.25">
      <c r="A8" s="2299" t="s">
        <v>2022</v>
      </c>
      <c r="B8" s="2300"/>
      <c r="C8" s="2300"/>
      <c r="D8" s="2300"/>
      <c r="E8" s="2300"/>
      <c r="F8" s="2300"/>
      <c r="G8" s="2301"/>
    </row>
    <row r="9" spans="1:7" ht="35.25" customHeight="1" x14ac:dyDescent="0.25">
      <c r="A9" s="2296" t="s">
        <v>2076</v>
      </c>
      <c r="B9" s="2297"/>
      <c r="C9" s="2297"/>
      <c r="D9" s="2297"/>
      <c r="E9" s="2297"/>
      <c r="F9" s="2297"/>
      <c r="G9" s="2298"/>
    </row>
    <row r="10" spans="1:7" ht="15" customHeight="1" x14ac:dyDescent="0.25">
      <c r="A10" s="1559" t="s">
        <v>1927</v>
      </c>
      <c r="B10" s="1560"/>
      <c r="C10" s="1560"/>
      <c r="D10" s="1560"/>
      <c r="E10" s="1560"/>
      <c r="F10" s="1560"/>
      <c r="G10" s="1561"/>
    </row>
    <row r="11" spans="1:7" ht="17.25" customHeight="1" x14ac:dyDescent="0.25">
      <c r="A11" s="2296" t="s">
        <v>2075</v>
      </c>
      <c r="B11" s="2297"/>
      <c r="C11" s="2297"/>
      <c r="D11" s="2297"/>
      <c r="E11" s="2297"/>
      <c r="F11" s="2297"/>
      <c r="G11" s="2298"/>
    </row>
    <row r="12" spans="1:7" ht="15" customHeight="1" x14ac:dyDescent="0.25">
      <c r="A12" s="1559" t="s">
        <v>1932</v>
      </c>
      <c r="B12" s="1560"/>
      <c r="C12" s="1560"/>
      <c r="D12" s="1560"/>
      <c r="E12" s="1560"/>
      <c r="F12" s="1560"/>
      <c r="G12" s="1561"/>
    </row>
    <row r="13" spans="1:7" ht="32.25" customHeight="1" x14ac:dyDescent="0.25">
      <c r="A13" s="2287" t="s">
        <v>1933</v>
      </c>
      <c r="B13" s="2288"/>
      <c r="C13" s="2288"/>
      <c r="D13" s="2288"/>
      <c r="E13" s="2288"/>
      <c r="F13" s="2288"/>
      <c r="G13" s="2289"/>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960" t="s">
        <v>2100</v>
      </c>
      <c r="B17" s="1958" t="s">
        <v>2098</v>
      </c>
      <c r="C17" s="1959" t="s">
        <v>2099</v>
      </c>
      <c r="D17" s="1867">
        <v>25575</v>
      </c>
      <c r="E17" s="1562">
        <f t="shared" ref="E17:E141" si="1">IF(D17&lt;=25000,D17,IF(D17&gt;25000,25000,0))</f>
        <v>25000</v>
      </c>
      <c r="F17" s="1815">
        <f t="shared" si="0"/>
        <v>25000</v>
      </c>
      <c r="G17" s="1816">
        <f>IF(F17=0,0,D17-F17)</f>
        <v>575</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25575</v>
      </c>
      <c r="E141" s="1563">
        <f t="shared" si="1"/>
        <v>25000</v>
      </c>
      <c r="F141" s="1817">
        <f>SUM(F17:F140)</f>
        <v>25000</v>
      </c>
      <c r="G141" s="1818">
        <f>SUM(G17:G140)</f>
        <v>575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79998168889431442"/>
  </sheetPr>
  <dimension ref="A1:I46"/>
  <sheetViews>
    <sheetView showGridLines="0" defaultGridColor="0" view="pageBreakPreview" colorId="8" zoomScale="6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1778</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7" t="s">
        <v>1944</v>
      </c>
      <c r="B11" s="2308"/>
      <c r="C11" s="2308"/>
      <c r="D11" s="2309"/>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10832</v>
      </c>
      <c r="F19" s="1822"/>
      <c r="G19" s="1824">
        <f>'Expenditures 15-22'!K33-SUM('Expenditures 15-22'!G33,'Expenditures 15-22'!I33)+'Expenditures 15-22'!D229</f>
        <v>10832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62129</v>
      </c>
      <c r="F21" s="1825"/>
      <c r="G21" s="1828">
        <f>'Expenditures 15-22'!K42-SUM('Expenditures 15-22'!G42,'Expenditures 15-22'!I42)+'Expenditures 15-22'!K120-SUM('Expenditures 15-22'!G120,'Expenditures 15-22'!I120)+'Expenditures 15-22'!K180-SUM('Expenditures 15-22'!G180,'Expenditures 15-22'!I180)+'Expenditures 15-22'!D238</f>
        <v>62129</v>
      </c>
      <c r="H21" s="988"/>
      <c r="I21" s="162"/>
    </row>
    <row r="22" spans="1:9" s="669" customFormat="1" ht="12" customHeight="1" x14ac:dyDescent="0.2">
      <c r="A22" s="995" t="s">
        <v>585</v>
      </c>
      <c r="B22" s="996"/>
      <c r="C22" s="994">
        <v>2200</v>
      </c>
      <c r="D22" s="1825"/>
      <c r="E22" s="1827">
        <f>'Expenditures 15-22'!K47-SUM('Expenditures 15-22'!G47,'Expenditures 15-22'!I47)+'Expenditures 15-22'!D243</f>
        <v>70922</v>
      </c>
      <c r="F22" s="1825"/>
      <c r="G22" s="1828">
        <f>'Expenditures 15-22'!K47-SUM('Expenditures 15-22'!G47,'Expenditures 15-22'!I47)+'Expenditures 15-22'!D243</f>
        <v>70922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80754</v>
      </c>
      <c r="F23" s="1825"/>
      <c r="G23" s="1827">
        <f>'Expenditures 15-22'!K53-SUM('Expenditures 15-22'!G53,'Expenditures 15-22'!I53)+'Expenditures 15-22'!D257+'Expenditures 15-22'!K330-SUM('Expenditures 15-22'!G330,'Expenditures 15-22'!I330)</f>
        <v>80754</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0</v>
      </c>
      <c r="F28" s="1829">
        <f>'Expenditures 15-22'!K61-SUM('Expenditures 15-22'!G61,'Expenditures 15-22'!I61)+'Expenditures 15-22'!K124-SUM('Expenditures 15-22'!G124,'Expenditures 15-22'!I124)+'Expenditures 15-22'!D266-E9</f>
        <v>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-575</v>
      </c>
      <c r="F40" s="1825"/>
      <c r="G40" s="1829">
        <f>-'Contracts Paid in CY 29'!G141</f>
        <v>-575</v>
      </c>
    </row>
    <row r="41" spans="1:7" ht="12" customHeight="1" x14ac:dyDescent="0.2">
      <c r="A41" s="999" t="s">
        <v>158</v>
      </c>
      <c r="B41" s="1000"/>
      <c r="C41" s="1001"/>
      <c r="D41" s="1829">
        <f>SUM(D19:D39)</f>
        <v>0</v>
      </c>
      <c r="E41" s="1829">
        <f>SUM(E19:E40)</f>
        <v>224062</v>
      </c>
      <c r="F41" s="1829">
        <f>SUM(F19:F39)</f>
        <v>0</v>
      </c>
      <c r="G41" s="1829">
        <f>SUM(G19:G40)</f>
        <v>224062</v>
      </c>
    </row>
    <row r="42" spans="1:7" x14ac:dyDescent="0.2">
      <c r="A42" s="988"/>
      <c r="B42" s="162"/>
      <c r="C42" s="1002"/>
      <c r="D42" s="2305" t="s">
        <v>543</v>
      </c>
      <c r="E42" s="2306"/>
      <c r="F42" s="1003" t="s">
        <v>544</v>
      </c>
      <c r="G42" s="1004"/>
    </row>
    <row r="43" spans="1:7" ht="12" customHeight="1" x14ac:dyDescent="0.2">
      <c r="A43" s="988"/>
      <c r="B43" s="162"/>
      <c r="C43" s="1002"/>
      <c r="D43" s="1830" t="s">
        <v>493</v>
      </c>
      <c r="E43" s="1831">
        <f>D41</f>
        <v>0</v>
      </c>
      <c r="F43" s="1830" t="s">
        <v>495</v>
      </c>
      <c r="G43" s="1831">
        <f>F41</f>
        <v>0</v>
      </c>
    </row>
    <row r="44" spans="1:7" ht="12" customHeight="1" x14ac:dyDescent="0.2">
      <c r="A44" s="988"/>
      <c r="B44" s="162"/>
      <c r="C44" s="1002"/>
      <c r="D44" s="1830" t="s">
        <v>494</v>
      </c>
      <c r="E44" s="1831">
        <f>E41</f>
        <v>224062</v>
      </c>
      <c r="F44" s="1830" t="s">
        <v>494</v>
      </c>
      <c r="G44" s="1831">
        <f>G41</f>
        <v>224062</v>
      </c>
    </row>
    <row r="45" spans="1:7" ht="12" customHeight="1" x14ac:dyDescent="0.2">
      <c r="A45" s="988"/>
      <c r="B45" s="162"/>
      <c r="C45" s="162"/>
      <c r="D45" s="1832" t="s">
        <v>1063</v>
      </c>
      <c r="E45" s="1833">
        <f>(E43/E44)</f>
        <v>0</v>
      </c>
      <c r="F45" s="1832" t="s">
        <v>1063</v>
      </c>
      <c r="G45" s="1833">
        <f>(G43/G44)</f>
        <v>0</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6" tint="0.79998168889431442"/>
  </sheetPr>
  <dimension ref="A1:L97"/>
  <sheetViews>
    <sheetView showGridLines="0" view="pageBreakPreview" zoomScale="60" zoomScaleNormal="110" workbookViewId="0">
      <selection sqref="A1:F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7109375" style="1903" bestFit="1" customWidth="1"/>
    <col min="9" max="9" width="3" style="1903" bestFit="1" customWidth="1"/>
    <col min="10" max="10" width="2.140625" style="1903" bestFit="1" customWidth="1"/>
    <col min="11" max="11" width="9" style="1903" customWidth="1"/>
    <col min="12" max="16384" width="9.140625" style="1872"/>
  </cols>
  <sheetData>
    <row r="1" spans="1:10" x14ac:dyDescent="0.2">
      <c r="A1" s="2324" t="s">
        <v>1446</v>
      </c>
      <c r="B1" s="2324"/>
      <c r="C1" s="2324"/>
      <c r="D1" s="2324"/>
      <c r="E1" s="2324"/>
      <c r="F1" s="2324"/>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5" t="s">
        <v>1627</v>
      </c>
      <c r="B5" s="2326"/>
      <c r="C5" s="2327"/>
      <c r="D5" s="2327"/>
      <c r="E5" s="2327"/>
      <c r="F5" s="2327"/>
    </row>
    <row r="6" spans="1:10" ht="12" customHeight="1" x14ac:dyDescent="0.25">
      <c r="A6" s="1875"/>
      <c r="B6" s="1876"/>
      <c r="C6" s="2328" t="str">
        <f>COVER!A17</f>
        <v>Northern Kane Co. Reg. Career and Tech. Ed. System</v>
      </c>
      <c r="D6" s="2328"/>
      <c r="E6" s="2328"/>
      <c r="F6" s="1877"/>
    </row>
    <row r="7" spans="1:10" ht="11.25" customHeight="1" thickBot="1" x14ac:dyDescent="0.3">
      <c r="A7" s="1875"/>
      <c r="B7" s="1876"/>
      <c r="C7" s="2329" t="str">
        <f>COVER!A13</f>
        <v>31-045-0460-46</v>
      </c>
      <c r="D7" s="2329"/>
      <c r="E7" s="2329"/>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2077</v>
      </c>
      <c r="D25" s="1890" t="s">
        <v>2077</v>
      </c>
      <c r="E25" s="1893"/>
      <c r="F25" s="1892" t="s">
        <v>2092</v>
      </c>
      <c r="H25" s="1903">
        <f t="shared" si="0"/>
        <v>5</v>
      </c>
      <c r="I25" s="1903">
        <f t="shared" si="1"/>
        <v>5</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c r="F31" s="1892" t="s">
        <v>2093</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30"/>
      <c r="D35" s="2330"/>
      <c r="E35" s="2330"/>
      <c r="F35" s="2331"/>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16"/>
      <c r="B38" s="2317"/>
      <c r="C38" s="2317"/>
      <c r="D38" s="2317"/>
      <c r="E38" s="2317"/>
      <c r="F38" s="2318"/>
    </row>
    <row r="39" spans="1:11" ht="4.5" hidden="1" customHeight="1" x14ac:dyDescent="0.2">
      <c r="A39" s="1898"/>
      <c r="B39" s="1898"/>
      <c r="C39" s="1898"/>
      <c r="D39" s="1898"/>
      <c r="E39" s="1898"/>
      <c r="F39" s="1898"/>
    </row>
    <row r="40" spans="1:11" s="1895" customFormat="1" ht="12" customHeight="1" x14ac:dyDescent="0.25">
      <c r="A40" s="1899" t="s">
        <v>1458</v>
      </c>
      <c r="B40" s="1900"/>
      <c r="C40" s="2319"/>
      <c r="D40" s="2319"/>
      <c r="E40" s="2319"/>
      <c r="F40" s="2320"/>
      <c r="H40" s="1904"/>
      <c r="I40" s="1904"/>
      <c r="J40" s="1904"/>
      <c r="K40" s="1904"/>
    </row>
    <row r="41" spans="1:11" s="1895" customFormat="1" ht="12" customHeight="1" x14ac:dyDescent="0.25">
      <c r="A41" s="2321"/>
      <c r="B41" s="2322"/>
      <c r="C41" s="2322"/>
      <c r="D41" s="2322"/>
      <c r="E41" s="2322"/>
      <c r="F41" s="2323"/>
      <c r="H41" s="1904"/>
      <c r="I41" s="1904"/>
      <c r="J41" s="1904"/>
      <c r="K41" s="1904"/>
    </row>
    <row r="42" spans="1:11" s="1895" customFormat="1" ht="12" customHeight="1" x14ac:dyDescent="0.25">
      <c r="A42" s="2321"/>
      <c r="B42" s="2322"/>
      <c r="C42" s="2322"/>
      <c r="D42" s="2322"/>
      <c r="E42" s="2322"/>
      <c r="F42" s="2323"/>
      <c r="H42" s="1904"/>
      <c r="I42" s="1904"/>
      <c r="J42" s="1904"/>
      <c r="K42" s="1904"/>
    </row>
    <row r="43" spans="1:11" s="1895" customFormat="1" ht="15" x14ac:dyDescent="0.25">
      <c r="A43" s="2310"/>
      <c r="B43" s="2311"/>
      <c r="C43" s="2311"/>
      <c r="D43" s="2311"/>
      <c r="E43" s="2311"/>
      <c r="F43" s="2312"/>
      <c r="H43" s="1904"/>
      <c r="I43" s="1904"/>
      <c r="J43" s="1904"/>
      <c r="K43" s="1904"/>
    </row>
    <row r="44" spans="1:11" s="1895" customFormat="1" ht="12" hidden="1" customHeight="1" x14ac:dyDescent="0.25">
      <c r="A44" s="2310"/>
      <c r="B44" s="2311"/>
      <c r="C44" s="2311"/>
      <c r="D44" s="2311"/>
      <c r="E44" s="2311"/>
      <c r="F44" s="231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colorId="8" zoomScale="110" zoomScaleNormal="110"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7" t="str">
        <f>COVER!A17</f>
        <v>Northern Kane Co. Reg. Career and Tech. Ed. System</v>
      </c>
      <c r="J6" s="2338"/>
      <c r="Q6" s="1686"/>
    </row>
    <row r="7" spans="1:17" x14ac:dyDescent="0.2">
      <c r="A7" s="2339" t="s">
        <v>924</v>
      </c>
      <c r="B7" s="2340"/>
      <c r="C7" s="2340"/>
      <c r="D7" s="2340"/>
      <c r="E7" s="2341"/>
      <c r="F7" s="1018"/>
      <c r="G7" s="1010"/>
      <c r="H7" s="1017" t="s">
        <v>390</v>
      </c>
      <c r="I7" s="2342" t="str">
        <f>COVER!A13</f>
        <v>31-045-0460-46</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v>79155</v>
      </c>
      <c r="I12" s="1040"/>
      <c r="J12" s="1834">
        <f t="shared" ref="J12:J18" si="1">SUM(H12:I12)</f>
        <v>79155</v>
      </c>
    </row>
    <row r="13" spans="1:17" ht="15" customHeight="1" x14ac:dyDescent="0.2">
      <c r="A13" s="1036">
        <v>2</v>
      </c>
      <c r="B13" s="1037" t="s">
        <v>44</v>
      </c>
      <c r="C13" s="1038"/>
      <c r="D13" s="1039">
        <v>2330</v>
      </c>
      <c r="E13" s="1834">
        <f>'Expenditures 15-22'!K51</f>
        <v>80754</v>
      </c>
      <c r="F13" s="1040"/>
      <c r="G13" s="1834">
        <f t="shared" si="0"/>
        <v>80754</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6" t="s">
        <v>7</v>
      </c>
      <c r="C18" s="2347"/>
      <c r="D18" s="2348"/>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80754</v>
      </c>
      <c r="F19" s="1836">
        <f t="shared" si="2"/>
        <v>0</v>
      </c>
      <c r="G19" s="1836">
        <f t="shared" si="2"/>
        <v>80754</v>
      </c>
      <c r="H19" s="1836">
        <f t="shared" si="2"/>
        <v>79155</v>
      </c>
      <c r="I19" s="1836">
        <f t="shared" si="2"/>
        <v>0</v>
      </c>
      <c r="J19" s="1836">
        <f t="shared" si="2"/>
        <v>79155</v>
      </c>
    </row>
    <row r="20" spans="1:10" ht="13.5" thickTop="1" x14ac:dyDescent="0.2">
      <c r="A20" s="1036">
        <v>9</v>
      </c>
      <c r="B20" s="2349" t="s">
        <v>1703</v>
      </c>
      <c r="C20" s="2349"/>
      <c r="D20" s="2350"/>
      <c r="E20" s="1047"/>
      <c r="F20" s="1047"/>
      <c r="G20" s="1047"/>
      <c r="H20" s="1047"/>
      <c r="I20" s="1047"/>
      <c r="J20" s="1837">
        <f>IF(AND(G19&gt;0,J19&gt;0),(((J19-G19)/G19)),"Enter Budget Data")</f>
        <v>-1.9800876736756075E-2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1943</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79998168889431442"/>
  </sheetPr>
  <dimension ref="A2:B64"/>
  <sheetViews>
    <sheetView showGridLines="0" view="pageBreakPreview" zoomScale="6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2094</v>
      </c>
    </row>
    <row r="6" spans="1:2" x14ac:dyDescent="0.2">
      <c r="A6" s="1069">
        <v>2</v>
      </c>
      <c r="B6" s="329" t="s">
        <v>2095</v>
      </c>
    </row>
    <row r="7" spans="1:2" x14ac:dyDescent="0.2">
      <c r="A7" s="1069">
        <v>3</v>
      </c>
      <c r="B7" s="329" t="s">
        <v>2096</v>
      </c>
    </row>
    <row r="8" spans="1:2" x14ac:dyDescent="0.2">
      <c r="A8" s="1957"/>
      <c r="B8" s="1956"/>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Northern Kane Co. Reg. Career and Tech. Ed. System</v>
      </c>
    </row>
    <row r="64" spans="1:2" x14ac:dyDescent="0.2">
      <c r="B64" s="1071" t="str">
        <f>COVER!A13</f>
        <v>31-045-0460-46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84"/>
  <sheetViews>
    <sheetView showGridLines="0" view="pageBreakPreview" topLeftCell="A26" zoomScale="90" zoomScaleNormal="110" zoomScaleSheetLayoutView="9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79998168889431442"/>
  </sheetPr>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G22"/>
  <sheetViews>
    <sheetView showGridLines="0" zoomScale="110" zoomScaleNormal="110" workbookViewId="0">
      <selection activeCell="M10" sqref="M10"/>
    </sheetView>
  </sheetViews>
  <sheetFormatPr defaultColWidth="9.140625" defaultRowHeight="12.75" x14ac:dyDescent="0.2"/>
  <cols>
    <col min="1" max="1" width="17.7109375" style="329" customWidth="1"/>
    <col min="2" max="2" width="6.140625" style="329" customWidth="1"/>
    <col min="3" max="3" width="59.7109375" style="329" customWidth="1"/>
    <col min="4" max="16384" width="9.140625" style="329"/>
  </cols>
  <sheetData>
    <row r="1" spans="2:7" x14ac:dyDescent="0.2">
      <c r="B1" s="329" t="s">
        <v>2104</v>
      </c>
    </row>
    <row r="7" spans="2:7" x14ac:dyDescent="0.2">
      <c r="B7" s="329" t="s">
        <v>2105</v>
      </c>
    </row>
    <row r="11" spans="2:7" x14ac:dyDescent="0.2">
      <c r="C11" s="1072"/>
      <c r="D11" s="1072"/>
      <c r="E11" s="1072"/>
      <c r="F11" s="1072"/>
      <c r="G11" s="1072"/>
    </row>
    <row r="12" spans="2:7" x14ac:dyDescent="0.2">
      <c r="C12" s="1072"/>
      <c r="D12" s="1072"/>
      <c r="E12" s="1072"/>
      <c r="F12" s="1072"/>
      <c r="G12" s="1072"/>
    </row>
    <row r="13" spans="2:7" x14ac:dyDescent="0.2">
      <c r="B13" s="329" t="s">
        <v>2106</v>
      </c>
      <c r="C13" s="1072"/>
      <c r="D13" s="1072"/>
      <c r="E13" s="1072"/>
      <c r="F13" s="1072"/>
      <c r="G13" s="1072"/>
    </row>
    <row r="14" spans="2:7" x14ac:dyDescent="0.2">
      <c r="C14" s="1072"/>
      <c r="D14" s="1072"/>
      <c r="E14" s="1072"/>
      <c r="F14" s="1072"/>
      <c r="G14" s="1072"/>
    </row>
    <row r="17" spans="1:3" x14ac:dyDescent="0.2">
      <c r="A17" s="1073" t="s">
        <v>1573</v>
      </c>
      <c r="B17" s="1073"/>
    </row>
    <row r="19" spans="1:3" x14ac:dyDescent="0.2">
      <c r="A19" s="389" t="s">
        <v>912</v>
      </c>
      <c r="B19" s="389"/>
    </row>
    <row r="20" spans="1:3" s="1072" customFormat="1" ht="45" customHeight="1" x14ac:dyDescent="0.2">
      <c r="A20" s="1074"/>
      <c r="B20" s="1074"/>
      <c r="C20" s="1074" t="s">
        <v>1783</v>
      </c>
    </row>
    <row r="21" spans="1:3" ht="6" customHeight="1" x14ac:dyDescent="0.2"/>
    <row r="22" spans="1:3" ht="24.75" customHeight="1" x14ac:dyDescent="0.2">
      <c r="A22" s="2356" t="s">
        <v>1784</v>
      </c>
      <c r="B22" s="2356"/>
      <c r="C22" s="2356"/>
    </row>
  </sheetData>
  <sheetProtection selectLockedCells="1"/>
  <mergeCells count="1">
    <mergeCell ref="A22:C22"/>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8" r:id="rId4">
          <objectPr defaultSize="0" r:id="rId5">
            <anchor moveWithCells="1">
              <from>
                <xdr:col>0</xdr:col>
                <xdr:colOff>0</xdr:colOff>
                <xdr:row>6</xdr:row>
                <xdr:rowOff>0</xdr:rowOff>
              </from>
              <to>
                <xdr:col>0</xdr:col>
                <xdr:colOff>914400</xdr:colOff>
                <xdr:row>10</xdr:row>
                <xdr:rowOff>38100</xdr:rowOff>
              </to>
            </anchor>
          </objectPr>
        </oleObject>
      </mc:Choice>
      <mc:Fallback>
        <oleObject progId="Acrobat Document" dvAspect="DVASPECT_ICON" shapeId="50178" r:id="rId4"/>
      </mc:Fallback>
    </mc:AlternateContent>
    <mc:AlternateContent xmlns:mc="http://schemas.openxmlformats.org/markup-compatibility/2006">
      <mc:Choice Requires="x14">
        <oleObject progId="Acrobat Document" dvAspect="DVASPECT_ICON" shapeId="50180" r:id="rId6">
          <objectPr defaultSize="0" r:id="rId7">
            <anchor moveWithCells="1">
              <from>
                <xdr:col>0</xdr:col>
                <xdr:colOff>0</xdr:colOff>
                <xdr:row>11</xdr:row>
                <xdr:rowOff>0</xdr:rowOff>
              </from>
              <to>
                <xdr:col>0</xdr:col>
                <xdr:colOff>914400</xdr:colOff>
                <xdr:row>15</xdr:row>
                <xdr:rowOff>38100</xdr:rowOff>
              </to>
            </anchor>
          </objectPr>
        </oleObject>
      </mc:Choice>
      <mc:Fallback>
        <oleObject progId="Acrobat Document" dvAspect="DVASPECT_ICON" shapeId="50180" r:id="rId6"/>
      </mc:Fallback>
    </mc:AlternateContent>
    <mc:AlternateContent xmlns:mc="http://schemas.openxmlformats.org/markup-compatibility/2006">
      <mc:Choice Requires="x14">
        <oleObject progId="Acrobat Document" dvAspect="DVASPECT_ICON" shapeId="50181" r:id="rId8">
          <objectPr defaultSize="0" r:id="rId9">
            <anchor moveWithCells="1">
              <from>
                <xdr:col>0</xdr:col>
                <xdr:colOff>0</xdr:colOff>
                <xdr:row>0</xdr:row>
                <xdr:rowOff>0</xdr:rowOff>
              </from>
              <to>
                <xdr:col>0</xdr:col>
                <xdr:colOff>914400</xdr:colOff>
                <xdr:row>4</xdr:row>
                <xdr:rowOff>38100</xdr:rowOff>
              </to>
            </anchor>
          </objectPr>
        </oleObject>
      </mc:Choice>
      <mc:Fallback>
        <oleObject progId="Acrobat Document" dvAspect="DVASPECT_ICON" shapeId="5018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6" tint="0.79998168889431442"/>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2054</v>
      </c>
      <c r="B4" s="2377"/>
      <c r="C4" s="2377"/>
      <c r="D4" s="2377"/>
      <c r="E4" s="2377"/>
      <c r="F4" s="2378"/>
      <c r="G4" s="1075"/>
      <c r="H4" s="1075"/>
    </row>
    <row r="5" spans="1:8" ht="14.25" customHeight="1" x14ac:dyDescent="0.2">
      <c r="A5" s="2379" t="s">
        <v>2055</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2380611</v>
      </c>
      <c r="C8" s="1838">
        <f>'Acct Summary 7-8'!D8</f>
        <v>0</v>
      </c>
      <c r="D8" s="1838">
        <f>'Acct Summary 7-8'!F8</f>
        <v>0</v>
      </c>
      <c r="E8" s="1838">
        <f>'Acct Summary 7-8'!I8</f>
        <v>0</v>
      </c>
      <c r="F8" s="1838">
        <f>SUM(B8:E8)</f>
        <v>2380611</v>
      </c>
    </row>
    <row r="9" spans="1:8" s="1080" customFormat="1" ht="14.25" customHeight="1" thickBot="1" x14ac:dyDescent="0.25">
      <c r="A9" s="1079" t="s">
        <v>1436</v>
      </c>
      <c r="B9" s="1839">
        <f>'Acct Summary 7-8'!C17</f>
        <v>1913173</v>
      </c>
      <c r="C9" s="1839">
        <f>'Acct Summary 7-8'!D17</f>
        <v>0</v>
      </c>
      <c r="D9" s="1839">
        <f>'Acct Summary 7-8'!F17</f>
        <v>0</v>
      </c>
      <c r="E9" s="1838"/>
      <c r="F9" s="1838">
        <f>SUM(B9:E9)</f>
        <v>1913173</v>
      </c>
    </row>
    <row r="10" spans="1:8" s="1080" customFormat="1" ht="14.25" thickTop="1" thickBot="1" x14ac:dyDescent="0.25">
      <c r="A10" s="1081" t="s">
        <v>1437</v>
      </c>
      <c r="B10" s="1840">
        <f>(B8-B9)</f>
        <v>467438</v>
      </c>
      <c r="C10" s="1840">
        <f>(C8-C9)</f>
        <v>0</v>
      </c>
      <c r="D10" s="1840">
        <f>(D8-D9)</f>
        <v>0</v>
      </c>
      <c r="E10" s="1839">
        <f>(E8-E9)</f>
        <v>0</v>
      </c>
      <c r="F10" s="1841">
        <f>SUM(F8-F9)</f>
        <v>467438</v>
      </c>
    </row>
    <row r="11" spans="1:8" s="1080" customFormat="1" ht="14.25" thickTop="1" thickBot="1" x14ac:dyDescent="0.25">
      <c r="A11" s="1082" t="s">
        <v>1785</v>
      </c>
      <c r="B11" s="1842">
        <f>'Acct Summary 7-8'!C81</f>
        <v>628842</v>
      </c>
      <c r="C11" s="1842">
        <f>'Acct Summary 7-8'!D81</f>
        <v>0</v>
      </c>
      <c r="D11" s="1842">
        <f>'Acct Summary 7-8'!F81</f>
        <v>0</v>
      </c>
      <c r="E11" s="1842">
        <f>'Acct Summary 7-8'!I81</f>
        <v>0</v>
      </c>
      <c r="F11" s="1843">
        <f>SUM(B11:E11)</f>
        <v>628842</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view="pageBreakPreview" topLeftCell="A38" colorId="8" zoomScale="110" zoomScaleNormal="110" zoomScaleSheetLayoutView="110" workbookViewId="0">
      <selection activeCell="D76" sqref="D76"/>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ENTRY IS REQUIRED!</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31-045-0460-46</v>
      </c>
    </row>
    <row r="3" spans="1:2" x14ac:dyDescent="0.2">
      <c r="A3" t="s">
        <v>1013</v>
      </c>
      <c r="B3" s="138" t="str">
        <f>COVER!A15</f>
        <v>Kane</v>
      </c>
    </row>
    <row r="4" spans="1:2" x14ac:dyDescent="0.2">
      <c r="A4" t="s">
        <v>1064</v>
      </c>
      <c r="B4" s="138" t="str">
        <f>COVER!A17</f>
        <v>Northern Kane Co. Reg. Career and Tech. Ed. System</v>
      </c>
    </row>
    <row r="5" spans="1:2" x14ac:dyDescent="0.2">
      <c r="A5" t="s">
        <v>728</v>
      </c>
      <c r="B5" s="138" t="str">
        <f>COVER!A38</f>
        <v>Jeff King - Chief Operating Officer/CSBO</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66003346</v>
      </c>
    </row>
    <row r="16" spans="1:2" x14ac:dyDescent="0.2">
      <c r="A16" t="s">
        <v>442</v>
      </c>
      <c r="B16" s="138" t="str">
        <f>COVER!T13</f>
        <v>RSM US LLP</v>
      </c>
    </row>
    <row r="17" spans="1:2" x14ac:dyDescent="0.2">
      <c r="A17" t="s">
        <v>939</v>
      </c>
      <c r="B17" s="138" t="str">
        <f>COVER!T15</f>
        <v>John George</v>
      </c>
    </row>
    <row r="18" spans="1:2" x14ac:dyDescent="0.2">
      <c r="A18" t="s">
        <v>1212</v>
      </c>
      <c r="B18" s="138" t="str">
        <f>COVER!T17</f>
        <v>One South Wacker Dr, Ste 800</v>
      </c>
    </row>
    <row r="19" spans="1:2" x14ac:dyDescent="0.2">
      <c r="A19" t="s">
        <v>941</v>
      </c>
      <c r="B19" s="138" t="str">
        <f>COVER!T25</f>
        <v>John.George@rsmus.com</v>
      </c>
    </row>
    <row r="20" spans="1:2" x14ac:dyDescent="0.2">
      <c r="A20" t="s">
        <v>942</v>
      </c>
      <c r="B20" s="138" t="str">
        <f>COVER!T19</f>
        <v>Chicago</v>
      </c>
    </row>
    <row r="21" spans="1:2" x14ac:dyDescent="0.2">
      <c r="A21" t="s">
        <v>500</v>
      </c>
      <c r="B21" s="138" t="str">
        <f>COVER!X19</f>
        <v>IL</v>
      </c>
    </row>
    <row r="22" spans="1:2" x14ac:dyDescent="0.2">
      <c r="A22" t="s">
        <v>943</v>
      </c>
      <c r="B22" s="138">
        <f>COVER!Z19</f>
        <v>60606</v>
      </c>
    </row>
    <row r="23" spans="1:2" x14ac:dyDescent="0.2">
      <c r="A23" t="s">
        <v>1214</v>
      </c>
      <c r="B23" s="138">
        <f>COVER!T21</f>
        <v>3126344402</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628842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0</v>
      </c>
      <c r="D92" s="2" t="str">
        <f t="shared" si="0"/>
        <v>Error?</v>
      </c>
    </row>
    <row r="93" spans="1:4" x14ac:dyDescent="0.2">
      <c r="A93" s="5">
        <v>32</v>
      </c>
      <c r="B93" s="138">
        <f>'Assets-Liab 5-6'!C41</f>
        <v>628842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594</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6718</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6718</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57283</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64001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64001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933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933</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18413</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19346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19346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62129</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62129</v>
      </c>
      <c r="C843" s="2" t="s">
        <v>594</v>
      </c>
      <c r="D843" s="2" t="str">
        <f t="shared" si="12"/>
        <v>Error?</v>
      </c>
    </row>
    <row r="844" spans="1:4" x14ac:dyDescent="0.2">
      <c r="A844" s="5">
        <v>783</v>
      </c>
      <c r="B844" s="138">
        <f>'Expenditures 15-22'!E44</f>
        <v>63271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63271</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5058</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130458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130458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10832</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10832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10832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1684326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1684326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15042</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15042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62129</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62129</v>
      </c>
      <c r="C1115" s="2" t="s">
        <v>594</v>
      </c>
      <c r="D1115" s="2" t="str">
        <f t="shared" si="16"/>
        <v>Error?</v>
      </c>
    </row>
    <row r="1116" spans="1:4" x14ac:dyDescent="0.2">
      <c r="A1116" s="5">
        <v>1055</v>
      </c>
      <c r="B1116" s="138">
        <f>'Expenditures 15-22'!K44</f>
        <v>70922</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70922</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80754</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213805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1684326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1913173</v>
      </c>
      <c r="C1152" s="2" t="s">
        <v>594</v>
      </c>
      <c r="D1152" s="2" t="str">
        <f t="shared" si="17"/>
        <v>Error?</v>
      </c>
    </row>
    <row r="1153" spans="1:4" x14ac:dyDescent="0.2">
      <c r="A1153" s="5">
        <v>1092</v>
      </c>
      <c r="B1153" s="138">
        <f>'Expenditures 15-22'!K115</f>
        <v>467438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161404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628842</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0</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0</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1684326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1684326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628842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0</v>
      </c>
      <c r="C2551" s="2" t="s">
        <v>594</v>
      </c>
      <c r="D2551" s="2" t="str">
        <f t="shared" si="38"/>
        <v>Error?</v>
      </c>
    </row>
    <row r="2552" spans="1:4" x14ac:dyDescent="0.2">
      <c r="A2552" s="10">
        <v>2491</v>
      </c>
      <c r="D2552" s="2" t="str">
        <f t="shared" si="38"/>
        <v>OK</v>
      </c>
    </row>
    <row r="2553" spans="1:4" x14ac:dyDescent="0.2">
      <c r="A2553" s="5">
        <v>2492</v>
      </c>
      <c r="B2553" s="138">
        <f>'Acct Summary 7-8'!C6</f>
        <v>1600180</v>
      </c>
      <c r="C2553" s="2" t="s">
        <v>594</v>
      </c>
      <c r="D2553" s="2" t="str">
        <f t="shared" si="38"/>
        <v>Error?</v>
      </c>
    </row>
    <row r="2554" spans="1:4" x14ac:dyDescent="0.2">
      <c r="A2554" s="5">
        <v>2493</v>
      </c>
      <c r="B2554" s="138">
        <f>'Acct Summary 7-8'!C7</f>
        <v>780431</v>
      </c>
      <c r="C2554" s="2" t="s">
        <v>594</v>
      </c>
      <c r="D2554" s="2" t="str">
        <f t="shared" si="38"/>
        <v>Error?</v>
      </c>
    </row>
    <row r="2555" spans="1:4" x14ac:dyDescent="0.2">
      <c r="A2555" s="5">
        <v>2494</v>
      </c>
      <c r="B2555" s="138">
        <f>'Acct Summary 7-8'!C8</f>
        <v>2380611</v>
      </c>
      <c r="C2555" s="2" t="s">
        <v>594</v>
      </c>
      <c r="D2555" s="2" t="str">
        <f t="shared" si="38"/>
        <v>Error?</v>
      </c>
    </row>
    <row r="2556" spans="1:4" x14ac:dyDescent="0.2">
      <c r="A2556" s="5">
        <v>2495</v>
      </c>
      <c r="B2556" s="138">
        <f>'Acct Summary 7-8'!C12</f>
        <v>15042</v>
      </c>
      <c r="C2556" s="2" t="s">
        <v>594</v>
      </c>
      <c r="D2556" s="2" t="str">
        <f t="shared" si="38"/>
        <v>Error?</v>
      </c>
    </row>
    <row r="2557" spans="1:4" x14ac:dyDescent="0.2">
      <c r="A2557" s="5">
        <v>2496</v>
      </c>
      <c r="B2557" s="138">
        <f>'Acct Summary 7-8'!C13</f>
        <v>213805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1684326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1913173</v>
      </c>
      <c r="C2561" s="2" t="s">
        <v>594</v>
      </c>
      <c r="D2561" s="2" t="str">
        <f t="shared" si="39"/>
        <v>Error?</v>
      </c>
    </row>
    <row r="2562" spans="1:4" x14ac:dyDescent="0.2">
      <c r="A2562" s="5">
        <v>2501</v>
      </c>
      <c r="B2562" s="138">
        <f>'Acct Summary 7-8'!C20</f>
        <v>467438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57283</v>
      </c>
      <c r="D2718" s="2" t="str">
        <f t="shared" si="41"/>
        <v>Error?</v>
      </c>
    </row>
    <row r="2719" spans="1:4" x14ac:dyDescent="0.2">
      <c r="A2719" s="5">
        <v>2658</v>
      </c>
      <c r="B2719" s="138">
        <f>'Expenditures 15-22'!D51</f>
        <v>18413</v>
      </c>
      <c r="D2719" s="2" t="str">
        <f t="shared" si="41"/>
        <v>Error?</v>
      </c>
    </row>
    <row r="2720" spans="1:4" x14ac:dyDescent="0.2">
      <c r="A2720" s="5">
        <v>2659</v>
      </c>
      <c r="B2720" s="138">
        <f>'Expenditures 15-22'!E51</f>
        <v>5058</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80754</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1684326</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1684326</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467438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628842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2380611</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1913173</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628842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780431</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594</v>
      </c>
      <c r="D5120" s="2" t="str">
        <f t="shared" si="79"/>
        <v>Error?</v>
      </c>
    </row>
    <row r="5121" spans="1:4" x14ac:dyDescent="0.2">
      <c r="A5121" s="5">
        <v>5060</v>
      </c>
      <c r="B5121" s="138">
        <f>'Revenues 9-14'!C109</f>
        <v>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1600180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1600180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1600180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1600180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780431</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780431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780431</v>
      </c>
      <c r="C5326" s="2" t="s">
        <v>594</v>
      </c>
      <c r="D5326" s="2" t="str">
        <f t="shared" si="82"/>
        <v>Error?</v>
      </c>
    </row>
    <row r="5327" spans="1:4" x14ac:dyDescent="0.2">
      <c r="A5327" s="5">
        <v>5266</v>
      </c>
      <c r="B5327" s="138">
        <f>'Revenues 9-14'!C275</f>
        <v>2380611</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467438</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0.74333139325935604</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4210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4210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4210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4210</v>
      </c>
      <c r="D7624" s="2" t="str">
        <f t="shared" si="124"/>
        <v>Error?</v>
      </c>
      <c r="E7624" s="2" t="s">
        <v>19</v>
      </c>
    </row>
    <row r="7625" spans="1:5" x14ac:dyDescent="0.2">
      <c r="A7625">
        <f t="shared" si="123"/>
        <v>7564</v>
      </c>
      <c r="B7625" s="138">
        <f>'Cap Outlay Deprec 26'!I17</f>
        <v>421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421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25575</v>
      </c>
      <c r="D7797" s="2" t="str">
        <f t="shared" si="127"/>
        <v>Error?</v>
      </c>
      <c r="E7797" s="4" t="s">
        <v>2019</v>
      </c>
    </row>
    <row r="7798" spans="1:5" x14ac:dyDescent="0.2">
      <c r="A7798">
        <v>7737</v>
      </c>
      <c r="B7798" s="138">
        <f>'Contracts Paid in CY 29'!F141</f>
        <v>25000</v>
      </c>
      <c r="D7798" s="2" t="str">
        <f t="shared" si="127"/>
        <v>Error?</v>
      </c>
      <c r="E7798" s="4" t="s">
        <v>2019</v>
      </c>
    </row>
    <row r="7799" spans="1:5" x14ac:dyDescent="0.2">
      <c r="A7799">
        <v>7738</v>
      </c>
      <c r="B7799" s="138">
        <f>'Contracts Paid in CY 29'!G141</f>
        <v>575</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view="pageBreakPreview" zoomScale="6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4" t="s">
        <v>1253</v>
      </c>
      <c r="B2" s="2424"/>
      <c r="C2" s="2424"/>
      <c r="D2" s="2424"/>
      <c r="E2" s="2424"/>
      <c r="F2" s="2424"/>
      <c r="G2" s="2424"/>
      <c r="H2" s="2424"/>
      <c r="I2" s="2424"/>
      <c r="J2" s="2424"/>
      <c r="K2" s="2424"/>
      <c r="L2" s="2424"/>
    </row>
    <row r="3" spans="1:29" ht="13.5" customHeight="1" x14ac:dyDescent="0.2">
      <c r="A3" s="2410" t="s">
        <v>1252</v>
      </c>
      <c r="B3" s="2410"/>
      <c r="C3" s="2410"/>
      <c r="D3" s="2410"/>
      <c r="E3" s="2410"/>
      <c r="F3" s="2410"/>
      <c r="G3" s="2410"/>
      <c r="H3" s="2410"/>
      <c r="I3" s="2410"/>
      <c r="J3" s="2410"/>
      <c r="K3" s="2410"/>
      <c r="L3" s="2410"/>
    </row>
    <row r="4" spans="1:29" ht="13.5" customHeight="1" x14ac:dyDescent="0.2">
      <c r="A4" s="2424" t="s">
        <v>1799</v>
      </c>
      <c r="B4" s="2441"/>
      <c r="C4" s="2441"/>
      <c r="D4" s="2441"/>
      <c r="E4" s="2441"/>
      <c r="F4" s="2441"/>
      <c r="G4" s="2441"/>
      <c r="H4" s="2441"/>
      <c r="I4" s="2441"/>
      <c r="J4" s="2441"/>
      <c r="K4" s="2441"/>
      <c r="L4" s="244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4" t="str">
        <f>COVER!A17</f>
        <v>Northern Kane Co. Reg. Career and Tech. Ed. System</v>
      </c>
      <c r="B7" s="2405"/>
      <c r="C7" s="2405"/>
      <c r="D7" s="2442"/>
      <c r="E7" s="2443" t="str">
        <f>COVER!A13</f>
        <v>31-045-0460-46</v>
      </c>
      <c r="F7" s="2444"/>
      <c r="G7" s="2411">
        <f>COVER!T23</f>
        <v>66003346</v>
      </c>
      <c r="H7" s="2412"/>
      <c r="I7" s="2412"/>
      <c r="J7" s="2412"/>
      <c r="K7" s="2412"/>
      <c r="L7" s="241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4"/>
      <c r="B9" s="2415"/>
      <c r="C9" s="2415"/>
      <c r="D9" s="2415"/>
      <c r="E9" s="2415"/>
      <c r="F9" s="2416"/>
      <c r="G9" s="2417" t="str">
        <f>COVER!T13</f>
        <v>RSM US LLP</v>
      </c>
      <c r="H9" s="2418"/>
      <c r="I9" s="2418"/>
      <c r="J9" s="2418"/>
      <c r="K9" s="2418"/>
      <c r="L9" s="2419"/>
    </row>
    <row r="10" spans="1:29" ht="13.5" customHeight="1" x14ac:dyDescent="0.2">
      <c r="A10" s="2401" t="str">
        <f>COVER!A38</f>
        <v>Jeff King - Chief Operating Officer/CSBO</v>
      </c>
      <c r="B10" s="2402"/>
      <c r="C10" s="2402"/>
      <c r="D10" s="2402"/>
      <c r="E10" s="2402"/>
      <c r="F10" s="2403"/>
      <c r="G10" s="2417" t="str">
        <f>COVER!T17</f>
        <v>One South Wacker Dr, Ste 800</v>
      </c>
      <c r="H10" s="2430"/>
      <c r="I10" s="2430"/>
      <c r="J10" s="2430"/>
      <c r="K10" s="2430"/>
      <c r="L10" s="2431"/>
    </row>
    <row r="11" spans="1:29" ht="13.5" customHeight="1" x14ac:dyDescent="0.2">
      <c r="A11" s="1185" t="s">
        <v>1599</v>
      </c>
      <c r="B11" s="1186"/>
      <c r="C11" s="1187"/>
      <c r="D11" s="1192"/>
      <c r="E11" s="1187"/>
      <c r="F11" s="1191"/>
      <c r="G11" s="2417" t="str">
        <f>COVER!T19</f>
        <v>Chicago</v>
      </c>
      <c r="H11" s="2430"/>
      <c r="I11" s="2430"/>
      <c r="J11" s="2430"/>
      <c r="K11" s="2430"/>
      <c r="L11" s="2431"/>
    </row>
    <row r="12" spans="1:29" ht="13.5" customHeight="1" x14ac:dyDescent="0.2">
      <c r="A12" s="2435" t="s">
        <v>1598</v>
      </c>
      <c r="B12" s="2436"/>
      <c r="C12" s="2436"/>
      <c r="D12" s="2436"/>
      <c r="E12" s="2436"/>
      <c r="F12" s="2437"/>
      <c r="G12" s="2432"/>
      <c r="H12" s="2433"/>
      <c r="I12" s="2433"/>
      <c r="J12" s="2433"/>
      <c r="K12" s="2433"/>
      <c r="L12" s="2434"/>
    </row>
    <row r="13" spans="1:29" ht="13.5" customHeight="1" x14ac:dyDescent="0.2">
      <c r="A13" s="2417"/>
      <c r="B13" s="2430"/>
      <c r="C13" s="2430"/>
      <c r="D13" s="2430"/>
      <c r="E13" s="2430"/>
      <c r="F13" s="2431"/>
      <c r="G13" s="2425" t="s">
        <v>1600</v>
      </c>
      <c r="H13" s="2426"/>
      <c r="I13" s="2438" t="str">
        <f>COVER!T25</f>
        <v>John.George@rsmus.com</v>
      </c>
      <c r="J13" s="2439"/>
      <c r="K13" s="2439"/>
      <c r="L13" s="2440"/>
    </row>
    <row r="14" spans="1:29" ht="13.5" customHeight="1" x14ac:dyDescent="0.2">
      <c r="A14" s="2417" t="str">
        <f>COVER!A19</f>
        <v xml:space="preserve">355 E. Chicago St. </v>
      </c>
      <c r="B14" s="2430"/>
      <c r="C14" s="2430"/>
      <c r="D14" s="2430"/>
      <c r="E14" s="2430"/>
      <c r="F14" s="2431"/>
      <c r="G14" s="1196" t="s">
        <v>1247</v>
      </c>
      <c r="H14" s="1194"/>
      <c r="I14" s="1194"/>
      <c r="J14" s="1194"/>
      <c r="K14" s="1194"/>
      <c r="L14" s="1195"/>
    </row>
    <row r="15" spans="1:29" ht="13.5" customHeight="1" x14ac:dyDescent="0.2">
      <c r="A15" s="2417" t="str">
        <f>COVER!A21</f>
        <v>Eligin</v>
      </c>
      <c r="B15" s="2430"/>
      <c r="C15" s="2430"/>
      <c r="D15" s="2430"/>
      <c r="E15" s="2430"/>
      <c r="F15" s="2431"/>
      <c r="G15" s="2427" t="str">
        <f>COVER!T15</f>
        <v>John George</v>
      </c>
      <c r="H15" s="2428"/>
      <c r="I15" s="2428"/>
      <c r="J15" s="2428"/>
      <c r="K15" s="2428"/>
      <c r="L15" s="2429"/>
    </row>
    <row r="16" spans="1:29" ht="12.2" customHeight="1" x14ac:dyDescent="0.2">
      <c r="A16" s="2407" t="str">
        <f>COVER!A25</f>
        <v>60120-6543</v>
      </c>
      <c r="B16" s="2408"/>
      <c r="C16" s="2408"/>
      <c r="D16" s="2408"/>
      <c r="E16" s="2408"/>
      <c r="F16" s="2409"/>
      <c r="G16" s="2420"/>
      <c r="H16" s="2421"/>
      <c r="I16" s="2421"/>
      <c r="J16" s="2421"/>
      <c r="K16" s="2421"/>
      <c r="L16" s="2422"/>
    </row>
    <row r="17" spans="1:13" ht="12.2" customHeight="1" x14ac:dyDescent="0.2">
      <c r="A17" s="2423"/>
      <c r="B17" s="2408"/>
      <c r="C17" s="2408"/>
      <c r="D17" s="2408"/>
      <c r="E17" s="2408"/>
      <c r="F17" s="2409"/>
      <c r="G17" s="1196" t="s">
        <v>1246</v>
      </c>
      <c r="H17" s="1194"/>
      <c r="I17" s="1194"/>
      <c r="J17" s="1194"/>
      <c r="K17" s="1198" t="s">
        <v>1245</v>
      </c>
      <c r="L17" s="1191"/>
      <c r="M17" s="1184"/>
    </row>
    <row r="18" spans="1:13" ht="12.2" customHeight="1" x14ac:dyDescent="0.2">
      <c r="A18" s="2401"/>
      <c r="B18" s="2402"/>
      <c r="C18" s="2402"/>
      <c r="D18" s="2402"/>
      <c r="E18" s="2402"/>
      <c r="F18" s="2403"/>
      <c r="G18" s="2404">
        <f>COVER!T21</f>
        <v>3126344402</v>
      </c>
      <c r="H18" s="2405"/>
      <c r="I18" s="2405"/>
      <c r="J18" s="2405"/>
      <c r="K18" s="2404">
        <f>COVER!X21</f>
        <v>3126345523</v>
      </c>
      <c r="L18" s="240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view="pageBreakPreview" zoomScale="60" zoomScaleNormal="125" workbookViewId="0"/>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Northern Kane Co. Reg. Career and Tech. Ed. System</v>
      </c>
      <c r="B1" s="2441"/>
      <c r="C1" s="2441"/>
      <c r="D1" s="2441"/>
    </row>
    <row r="2" spans="1:11" s="1215" customFormat="1" ht="12.75" x14ac:dyDescent="0.2">
      <c r="A2" s="2446" t="str">
        <f>'Single Audit Cover'!E7</f>
        <v>31-045-0460-46</v>
      </c>
      <c r="B2" s="2447"/>
      <c r="C2" s="2447"/>
      <c r="D2" s="2447"/>
    </row>
    <row r="3" spans="1:11" s="1215" customFormat="1" ht="12.75" x14ac:dyDescent="0.2">
      <c r="A3" s="2445" t="s">
        <v>1593</v>
      </c>
      <c r="B3" s="2441"/>
      <c r="C3" s="2441"/>
      <c r="D3" s="244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BreakPreview"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Northern Kane Co. Reg. Career and Tech. Ed. System</v>
      </c>
      <c r="B1" s="2449"/>
      <c r="C1" s="2449"/>
      <c r="D1" s="2449"/>
      <c r="E1" s="2449"/>
    </row>
    <row r="2" spans="1:5" x14ac:dyDescent="0.2">
      <c r="A2" s="2450" t="str">
        <f>'Single Audit Cover'!E7</f>
        <v>31-045-0460-46</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780431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780431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780431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0</v>
      </c>
    </row>
    <row r="49" spans="2:4" x14ac:dyDescent="0.2">
      <c r="B49" s="1272" t="s">
        <v>1288</v>
      </c>
      <c r="C49" s="1272"/>
      <c r="D49" s="1273">
        <f>D32-D47</f>
        <v>780431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view="pageBreakPreview" zoomScale="60" zoomScaleNormal="120" workbookViewId="0"/>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Northern Kane Co. Reg. Career and Tech. Ed. System</v>
      </c>
      <c r="B1" s="2454"/>
      <c r="C1" s="2454"/>
      <c r="D1" s="2454"/>
      <c r="E1" s="2454"/>
      <c r="F1" s="2454"/>
    </row>
    <row r="2" spans="1:7" ht="13.5" customHeight="1" x14ac:dyDescent="0.2">
      <c r="A2" s="2455" t="str">
        <f>'Single Audit Cover'!E7</f>
        <v>31-045-0460-46</v>
      </c>
      <c r="B2" s="2455"/>
      <c r="C2" s="2455"/>
      <c r="D2" s="2455"/>
      <c r="E2" s="2455"/>
      <c r="F2" s="2455"/>
      <c r="G2" s="1275"/>
    </row>
    <row r="3" spans="1:7" ht="15.75" customHeight="1" x14ac:dyDescent="0.2">
      <c r="A3" s="2456" t="s">
        <v>1333</v>
      </c>
      <c r="B3" s="2456"/>
      <c r="C3" s="2456"/>
      <c r="D3" s="2456"/>
      <c r="E3" s="2456"/>
      <c r="F3" s="2456"/>
    </row>
    <row r="4" spans="1:7" ht="13.5" customHeight="1" x14ac:dyDescent="0.2">
      <c r="A4" s="2457" t="str">
        <f>'Single Audit Cover'!A4</f>
        <v>Year Ending June 30, 2018</v>
      </c>
      <c r="B4" s="2457"/>
      <c r="C4" s="2457"/>
      <c r="D4" s="2457"/>
      <c r="E4" s="2457"/>
      <c r="F4" s="2457"/>
    </row>
    <row r="5" spans="1:7" ht="8.25" customHeight="1" x14ac:dyDescent="0.2">
      <c r="C5" s="317"/>
      <c r="D5" s="317"/>
    </row>
    <row r="6" spans="1:7" ht="13.5" customHeight="1" x14ac:dyDescent="0.2">
      <c r="A6" s="1276" t="s">
        <v>1831</v>
      </c>
      <c r="C6" s="317"/>
      <c r="D6" s="317"/>
    </row>
    <row r="7" spans="1:7" ht="60.95" customHeight="1" x14ac:dyDescent="0.2">
      <c r="A7" s="2453" t="s">
        <v>1832</v>
      </c>
      <c r="B7" s="2453"/>
      <c r="C7" s="2453"/>
      <c r="D7" s="2453"/>
      <c r="E7" s="2453"/>
      <c r="F7" s="2453"/>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3" t="s">
        <v>1834</v>
      </c>
      <c r="B13" s="2453"/>
      <c r="C13" s="2453"/>
      <c r="D13" s="2453"/>
      <c r="E13" s="2453"/>
      <c r="F13" s="2453"/>
    </row>
    <row r="14" spans="1:7" ht="9.75" customHeight="1" x14ac:dyDescent="0.2">
      <c r="C14" s="1260"/>
      <c r="D14" s="1260"/>
    </row>
    <row r="15" spans="1:7" ht="13.5" customHeight="1" x14ac:dyDescent="0.2">
      <c r="C15" s="1871" t="s">
        <v>1332</v>
      </c>
      <c r="D15" s="2459" t="s">
        <v>1331</v>
      </c>
      <c r="E15" s="2459"/>
      <c r="F15" s="2459"/>
    </row>
    <row r="16" spans="1:7" ht="13.5" customHeight="1" x14ac:dyDescent="0.2">
      <c r="A16" s="1282"/>
      <c r="B16" s="1276" t="s">
        <v>1330</v>
      </c>
      <c r="C16" s="1871" t="s">
        <v>1329</v>
      </c>
      <c r="D16" s="2460" t="s">
        <v>1670</v>
      </c>
      <c r="E16" s="2460"/>
      <c r="F16" s="2460"/>
    </row>
    <row r="17" spans="1:6" ht="20.45" customHeight="1" x14ac:dyDescent="0.2">
      <c r="A17" s="1283"/>
      <c r="B17" s="1284"/>
      <c r="C17" s="1285"/>
      <c r="D17" s="2458"/>
      <c r="E17" s="2458"/>
      <c r="F17" s="2458"/>
    </row>
    <row r="18" spans="1:6" ht="20.65" customHeight="1" x14ac:dyDescent="0.2">
      <c r="A18" s="1283"/>
      <c r="B18" s="1284"/>
      <c r="C18" s="1285"/>
      <c r="D18" s="2458"/>
      <c r="E18" s="2458"/>
      <c r="F18" s="2458"/>
    </row>
    <row r="19" spans="1:6" ht="20.65" customHeight="1" x14ac:dyDescent="0.2">
      <c r="A19" s="1283"/>
      <c r="B19" s="1284"/>
      <c r="C19" s="1285"/>
      <c r="D19" s="2458"/>
      <c r="E19" s="2458"/>
      <c r="F19" s="2458"/>
    </row>
    <row r="20" spans="1:6" ht="20.65" customHeight="1" x14ac:dyDescent="0.2">
      <c r="A20" s="1283"/>
      <c r="B20" s="1284"/>
      <c r="C20" s="1285"/>
      <c r="D20" s="2458"/>
      <c r="E20" s="2458"/>
      <c r="F20" s="2458"/>
    </row>
    <row r="21" spans="1:6" ht="20.65" customHeight="1" x14ac:dyDescent="0.2">
      <c r="A21" s="1283"/>
      <c r="B21" s="1284"/>
      <c r="C21" s="1285"/>
      <c r="D21" s="2458"/>
      <c r="E21" s="2458"/>
      <c r="F21" s="2458"/>
    </row>
    <row r="22" spans="1:6" ht="20.65" customHeight="1" x14ac:dyDescent="0.2">
      <c r="A22" s="1283"/>
      <c r="B22" s="1284"/>
      <c r="C22" s="1285"/>
      <c r="D22" s="2458"/>
      <c r="E22" s="2458"/>
      <c r="F22" s="2458"/>
    </row>
    <row r="23" spans="1:6" ht="20.65" customHeight="1" x14ac:dyDescent="0.2">
      <c r="A23" s="1283"/>
      <c r="B23" s="1284"/>
      <c r="C23" s="1285"/>
      <c r="D23" s="2458"/>
      <c r="E23" s="2458"/>
      <c r="F23" s="2458"/>
    </row>
    <row r="24" spans="1:6" ht="20.65" customHeight="1" x14ac:dyDescent="0.2">
      <c r="A24" s="1283"/>
      <c r="B24" s="1284"/>
      <c r="C24" s="1285"/>
      <c r="D24" s="2458"/>
      <c r="E24" s="2458"/>
      <c r="F24" s="2458"/>
    </row>
    <row r="25" spans="1:6" ht="20.65" customHeight="1" x14ac:dyDescent="0.2">
      <c r="A25" s="1283"/>
      <c r="B25" s="1284"/>
      <c r="C25" s="1285"/>
      <c r="D25" s="2458"/>
      <c r="E25" s="2458"/>
      <c r="F25" s="2458"/>
    </row>
    <row r="26" spans="1:6" ht="20.65" customHeight="1" x14ac:dyDescent="0.2">
      <c r="A26" s="1283"/>
      <c r="B26" s="1284"/>
      <c r="C26" s="1285"/>
      <c r="D26" s="2458"/>
      <c r="E26" s="2458"/>
      <c r="F26" s="2458"/>
    </row>
    <row r="27" spans="1:6" ht="20.65" customHeight="1" x14ac:dyDescent="0.2">
      <c r="A27" s="1283"/>
      <c r="B27" s="1284"/>
      <c r="C27" s="1285"/>
      <c r="D27" s="2458"/>
      <c r="E27" s="2458"/>
      <c r="F27" s="2458"/>
    </row>
    <row r="28" spans="1:6" ht="20.65" customHeight="1" x14ac:dyDescent="0.2">
      <c r="A28" s="1283"/>
      <c r="B28" s="1284"/>
      <c r="C28" s="1285"/>
      <c r="D28" s="2458"/>
      <c r="E28" s="2458"/>
      <c r="F28" s="2458"/>
    </row>
    <row r="29" spans="1:6" ht="20.65" customHeight="1" x14ac:dyDescent="0.2">
      <c r="A29" s="1283"/>
      <c r="B29" s="1284"/>
      <c r="C29" s="1285"/>
      <c r="D29" s="2458"/>
      <c r="E29" s="2458"/>
      <c r="F29" s="2458"/>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2" t="s">
        <v>1835</v>
      </c>
      <c r="B32" s="2462"/>
      <c r="C32" s="2462"/>
      <c r="D32" s="2462"/>
      <c r="E32" s="2462"/>
      <c r="F32" s="2462"/>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63">
        <f>+C33+C34</f>
        <v>0</v>
      </c>
      <c r="F34" s="2464"/>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5" t="s">
        <v>1672</v>
      </c>
      <c r="C49" s="2465"/>
      <c r="D49" s="2465"/>
      <c r="E49" s="1399"/>
    </row>
    <row r="50" spans="1:5" s="1300" customFormat="1" ht="3.75" customHeight="1" x14ac:dyDescent="0.2">
      <c r="A50" s="1299"/>
      <c r="B50" s="1870"/>
      <c r="C50" s="1870"/>
      <c r="D50" s="1870"/>
      <c r="E50" s="1399"/>
    </row>
    <row r="51" spans="1:5" s="1300" customFormat="1" ht="20.25" customHeight="1" x14ac:dyDescent="0.2">
      <c r="A51" s="1301">
        <v>6</v>
      </c>
      <c r="B51" s="2461" t="s">
        <v>1632</v>
      </c>
      <c r="C51" s="2461"/>
      <c r="D51" s="2461"/>
    </row>
    <row r="52" spans="1:5" ht="14.25" customHeight="1" x14ac:dyDescent="0.2">
      <c r="A52" s="1301"/>
      <c r="B52" s="2461"/>
      <c r="C52" s="2461"/>
      <c r="D52" s="246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view="pageBreakPreview" topLeftCell="A19" zoomScale="60" zoomScaleNormal="63"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0" t="str">
        <f>'Single Audit Cover'!A7</f>
        <v>Northern Kane Co. Reg. Career and Tech. Ed. System</v>
      </c>
      <c r="C1" s="2466"/>
      <c r="D1" s="2466"/>
      <c r="E1" s="2466"/>
      <c r="F1" s="2466"/>
      <c r="G1" s="2466"/>
      <c r="H1" s="2466"/>
      <c r="I1" s="2466"/>
      <c r="J1" s="2466"/>
      <c r="K1" s="2466"/>
      <c r="L1" s="2466"/>
      <c r="M1" s="2466"/>
    </row>
    <row r="2" spans="2:14" ht="15" x14ac:dyDescent="0.2">
      <c r="B2" s="2455" t="str">
        <f>'Single Audit Cover'!E7</f>
        <v>31-045-0460-46</v>
      </c>
      <c r="C2" s="2455"/>
      <c r="D2" s="2455"/>
      <c r="E2" s="2455"/>
      <c r="F2" s="2455"/>
      <c r="G2" s="2455"/>
      <c r="H2" s="2455"/>
      <c r="I2" s="2455"/>
      <c r="J2" s="2455"/>
      <c r="K2" s="2455"/>
      <c r="L2" s="2455"/>
      <c r="M2" s="2455"/>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79998168889431442"/>
  </sheetPr>
  <dimension ref="A1:K143"/>
  <sheetViews>
    <sheetView showGridLines="0" defaultGridColor="0" view="pageBreakPreview" topLeftCell="A85" colorId="8" zoomScale="110" zoomScaleNormal="110" zoomScaleSheetLayoutView="110" workbookViewId="0">
      <selection activeCell="C117" sqref="C117:H1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2084</v>
      </c>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t="s">
        <v>2103</v>
      </c>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view="pageBreakPreview" topLeftCell="A19" zoomScale="6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Northern Kane Co. Reg. Career and Tech. Ed. System</v>
      </c>
      <c r="C1" s="2474"/>
      <c r="D1" s="2474"/>
      <c r="E1" s="2474"/>
      <c r="F1" s="2474"/>
      <c r="G1" s="2474"/>
      <c r="H1" s="2474"/>
      <c r="I1" s="2474"/>
      <c r="J1" s="1422"/>
    </row>
    <row r="2" spans="2:10" s="317" customFormat="1" ht="12.75" customHeight="1" x14ac:dyDescent="0.2">
      <c r="B2" s="2475" t="str">
        <f>'Single Audit Cover'!E7</f>
        <v>31-045-0460-46</v>
      </c>
      <c r="C2" s="2476"/>
      <c r="D2" s="2476"/>
      <c r="E2" s="2476"/>
      <c r="F2" s="2476"/>
      <c r="G2" s="2476"/>
      <c r="H2" s="2476"/>
      <c r="I2" s="2476"/>
      <c r="J2" s="1422"/>
    </row>
    <row r="3" spans="2:10" s="317" customFormat="1" ht="12.75" customHeight="1" x14ac:dyDescent="0.2">
      <c r="B3" s="2477" t="s">
        <v>1347</v>
      </c>
      <c r="C3" s="2478"/>
      <c r="D3" s="2478"/>
      <c r="E3" s="2478"/>
      <c r="F3" s="2478"/>
      <c r="G3" s="2478"/>
      <c r="H3" s="2478"/>
      <c r="I3" s="2478"/>
      <c r="J3" s="1423"/>
    </row>
    <row r="4" spans="2:10" s="317" customFormat="1" ht="12.75" customHeight="1" x14ac:dyDescent="0.2">
      <c r="B4" s="2477" t="str">
        <f>'Single Audit Cover'!A4</f>
        <v>Year Ending June 30, 2018</v>
      </c>
      <c r="C4" s="2478"/>
      <c r="D4" s="2478"/>
      <c r="E4" s="2478"/>
      <c r="F4" s="2478"/>
      <c r="G4" s="2478"/>
      <c r="H4" s="2478"/>
      <c r="I4" s="247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7" t="s">
        <v>1346</v>
      </c>
      <c r="C7" s="2478"/>
      <c r="D7" s="2478"/>
      <c r="E7" s="2478"/>
      <c r="F7" s="2478"/>
      <c r="G7" s="2478"/>
      <c r="H7" s="2478"/>
      <c r="I7" s="247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9"/>
      <c r="D11" s="247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0"/>
      <c r="E29" s="2480"/>
      <c r="F29" s="2480"/>
      <c r="G29" s="2480"/>
      <c r="H29" s="2480"/>
      <c r="I29" s="2480"/>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1" t="s">
        <v>1854</v>
      </c>
      <c r="D37" s="2482"/>
      <c r="E37" s="2482"/>
      <c r="F37" s="2483"/>
      <c r="G37" s="2481" t="s">
        <v>1674</v>
      </c>
      <c r="H37" s="2482"/>
      <c r="I37" s="2483"/>
    </row>
    <row r="38" spans="2:9" ht="16.5" customHeight="1" x14ac:dyDescent="0.2">
      <c r="B38" s="1444"/>
      <c r="C38" s="2469"/>
      <c r="D38" s="2470"/>
      <c r="E38" s="2470"/>
      <c r="F38" s="2471"/>
      <c r="G38" s="2484"/>
      <c r="H38" s="2485"/>
      <c r="I38" s="2486"/>
    </row>
    <row r="39" spans="2:9" ht="16.5" customHeight="1" x14ac:dyDescent="0.2">
      <c r="B39" s="1444"/>
      <c r="C39" s="2469"/>
      <c r="D39" s="2470"/>
      <c r="E39" s="2470"/>
      <c r="F39" s="2471"/>
      <c r="G39" s="2472"/>
      <c r="H39" s="2472"/>
      <c r="I39" s="2472"/>
    </row>
    <row r="40" spans="2:9" ht="16.5" customHeight="1" x14ac:dyDescent="0.2">
      <c r="B40" s="1444"/>
      <c r="C40" s="2469"/>
      <c r="D40" s="2470"/>
      <c r="E40" s="2470"/>
      <c r="F40" s="2471"/>
      <c r="G40" s="2472"/>
      <c r="H40" s="2472"/>
      <c r="I40" s="2472"/>
    </row>
    <row r="41" spans="2:9" ht="16.5" customHeight="1" x14ac:dyDescent="0.2">
      <c r="B41" s="1444"/>
      <c r="C41" s="2469"/>
      <c r="D41" s="2470"/>
      <c r="E41" s="2470"/>
      <c r="F41" s="2471"/>
      <c r="G41" s="2472"/>
      <c r="H41" s="2472"/>
      <c r="I41" s="2472"/>
    </row>
    <row r="42" spans="2:9" ht="16.5" customHeight="1" x14ac:dyDescent="0.2">
      <c r="B42" s="1444"/>
      <c r="C42" s="2469"/>
      <c r="D42" s="2470"/>
      <c r="E42" s="2470"/>
      <c r="F42" s="2471"/>
      <c r="G42" s="2472"/>
      <c r="H42" s="2472"/>
      <c r="I42" s="2472"/>
    </row>
    <row r="43" spans="2:9" ht="16.5" customHeight="1" x14ac:dyDescent="0.2">
      <c r="B43" s="1444"/>
      <c r="C43" s="2487" t="s">
        <v>1675</v>
      </c>
      <c r="D43" s="2488"/>
      <c r="E43" s="2488"/>
      <c r="F43" s="2489"/>
      <c r="G43" s="2490">
        <f>SUM(G38:I42)</f>
        <v>0</v>
      </c>
      <c r="H43" s="2490"/>
      <c r="I43" s="2490"/>
    </row>
    <row r="44" spans="2:9" ht="12.75" customHeight="1" x14ac:dyDescent="0.2"/>
    <row r="45" spans="2:9" ht="12.75" customHeight="1" x14ac:dyDescent="0.2">
      <c r="B45" s="1435" t="s">
        <v>1951</v>
      </c>
      <c r="D45" s="2491">
        <v>0</v>
      </c>
      <c r="E45" s="249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3"/>
      <c r="F49" s="2493"/>
      <c r="G49" s="249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BreakPreview" topLeftCell="A7" zoomScale="6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Northern Kane Co. Reg. Career and Tech. Ed. System</v>
      </c>
      <c r="C1" s="2473"/>
      <c r="D1" s="2473"/>
      <c r="E1" s="2473"/>
      <c r="F1" s="2473"/>
      <c r="G1" s="2473"/>
      <c r="H1" s="2473"/>
      <c r="I1" s="2473"/>
      <c r="J1" s="2473"/>
      <c r="K1" s="2473"/>
      <c r="L1" s="1374"/>
      <c r="M1" s="1374"/>
    </row>
    <row r="2" spans="1:13" ht="12" customHeight="1" x14ac:dyDescent="0.2">
      <c r="B2" s="2475" t="str">
        <f>'Single Audit Cover'!E7</f>
        <v>31-045-0460-46</v>
      </c>
      <c r="C2" s="2475"/>
      <c r="D2" s="2475"/>
      <c r="E2" s="2475"/>
      <c r="F2" s="2475"/>
      <c r="G2" s="2475"/>
      <c r="H2" s="2475"/>
      <c r="I2" s="2475"/>
      <c r="J2" s="2475"/>
      <c r="K2" s="2475"/>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view="pageBreakPreview" topLeftCell="A16" zoomScale="6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Northern Kane Co. Reg. Career and Tech. Ed. System</v>
      </c>
      <c r="C1" s="2500"/>
      <c r="D1" s="2500"/>
      <c r="E1" s="2500"/>
      <c r="F1" s="2500"/>
      <c r="G1" s="2500"/>
      <c r="H1" s="2500"/>
      <c r="I1" s="2500"/>
      <c r="J1" s="2500"/>
      <c r="K1" s="2500"/>
      <c r="L1" s="1465"/>
    </row>
    <row r="2" spans="1:12" ht="12.75" customHeight="1" x14ac:dyDescent="0.2">
      <c r="B2" s="2501" t="str">
        <f>'Single Audit Cover'!E7</f>
        <v>31-045-0460-46</v>
      </c>
      <c r="C2" s="2501"/>
      <c r="D2" s="2501"/>
      <c r="E2" s="2501"/>
      <c r="F2" s="2501"/>
      <c r="G2" s="2501"/>
      <c r="H2" s="2501"/>
      <c r="I2" s="2501"/>
      <c r="J2" s="2501"/>
      <c r="K2" s="2501"/>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0"/>
      <c r="G12" s="2480"/>
      <c r="H12" s="2480"/>
      <c r="I12" s="2480"/>
      <c r="J12" s="2480"/>
      <c r="K12" s="248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3"/>
      <c r="E14" s="2503"/>
      <c r="F14" s="2503"/>
      <c r="H14" s="1475" t="s">
        <v>1370</v>
      </c>
      <c r="I14" s="2504"/>
      <c r="J14" s="2504"/>
      <c r="K14" s="250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4"/>
      <c r="E16" s="2504"/>
      <c r="F16" s="2504"/>
      <c r="G16" s="2504"/>
      <c r="H16" s="2504"/>
      <c r="I16" s="2504"/>
      <c r="J16" s="2504"/>
      <c r="K16" s="2504"/>
      <c r="L16" s="322"/>
    </row>
    <row r="17" spans="2:12" ht="13.5" customHeight="1" x14ac:dyDescent="0.2">
      <c r="B17" s="1387" t="s">
        <v>1368</v>
      </c>
      <c r="C17" s="1387"/>
      <c r="D17" s="2505"/>
      <c r="E17" s="2505"/>
      <c r="F17" s="2505"/>
      <c r="G17" s="2505"/>
      <c r="H17" s="2505"/>
      <c r="I17" s="2505"/>
      <c r="J17" s="2505"/>
      <c r="K17" s="250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view="pageBreakPreview" zoomScale="6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3" t="str">
        <f>'Single Audit Cover'!A7</f>
        <v>Northern Kane Co. Reg. Career and Tech. Ed. System</v>
      </c>
      <c r="C1" s="2473"/>
      <c r="D1" s="2473"/>
      <c r="E1" s="1491"/>
    </row>
    <row r="2" spans="2:5" s="1282" customFormat="1" ht="12.75" customHeight="1" x14ac:dyDescent="0.2">
      <c r="B2" s="2475" t="str">
        <f>'Single Audit Cover'!E7</f>
        <v>31-045-0460-46</v>
      </c>
      <c r="C2" s="2475"/>
      <c r="D2" s="2475"/>
      <c r="E2" s="1492"/>
    </row>
    <row r="3" spans="2:5" ht="12.75" customHeight="1" x14ac:dyDescent="0.2">
      <c r="B3" s="2496" t="s">
        <v>1869</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79998168889431442"/>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2380611</v>
      </c>
      <c r="E16" s="356"/>
      <c r="F16" s="1755">
        <f>SUM('Acct Summary 7-8'!C17,'Acct Summary 7-8'!D17,'Acct Summary 7-8'!F17)</f>
        <v>1913173</v>
      </c>
      <c r="G16" s="356"/>
      <c r="H16" s="1755">
        <f>SUM(D16-F16)</f>
        <v>467438</v>
      </c>
      <c r="I16" s="222"/>
      <c r="J16" s="1755">
        <f>SUM('Acct Summary 7-8'!C81,'Acct Summary 7-8'!D81,'Acct Summary 7-8'!F81,'Acct Summary 7-8'!I81)</f>
        <v>628842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79998168889431442"/>
  </sheetPr>
  <dimension ref="A1:R44"/>
  <sheetViews>
    <sheetView showGridLines="0" view="pageLayout"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Northern Kane Co. Reg. Career and Tech. Ed. System</v>
      </c>
      <c r="E7" s="391"/>
      <c r="G7" s="252"/>
      <c r="H7" s="387"/>
      <c r="I7" s="387"/>
      <c r="J7" s="387"/>
      <c r="K7" s="387"/>
      <c r="L7" s="329"/>
      <c r="M7" s="329"/>
      <c r="N7" s="329"/>
      <c r="O7" s="329"/>
      <c r="P7" s="329"/>
    </row>
    <row r="8" spans="1:18" ht="12.75" x14ac:dyDescent="0.2">
      <c r="A8" s="329"/>
      <c r="B8" s="329"/>
      <c r="C8" s="389" t="s">
        <v>1187</v>
      </c>
      <c r="D8" s="392" t="str">
        <f>COVER!A13</f>
        <v>31-045-0460-46</v>
      </c>
      <c r="E8" s="393"/>
      <c r="G8" s="329"/>
      <c r="H8" s="329"/>
      <c r="I8" s="329"/>
      <c r="J8" s="329"/>
      <c r="K8" s="329"/>
      <c r="L8" s="329"/>
      <c r="M8" s="329"/>
      <c r="N8" s="329"/>
      <c r="O8" s="329"/>
      <c r="P8" s="329"/>
    </row>
    <row r="9" spans="1:18" ht="12.75" x14ac:dyDescent="0.2">
      <c r="A9" s="329"/>
      <c r="B9" s="329"/>
      <c r="C9" s="389" t="s">
        <v>737</v>
      </c>
      <c r="D9" s="394" t="str">
        <f>COVER!A15</f>
        <v>Kane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628842</v>
      </c>
      <c r="I12" s="404"/>
      <c r="J12" s="404"/>
      <c r="K12" s="405">
        <f>TRUNC((H12/H13*100000),5)/100000</f>
        <v>0.26415151399999998</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2380611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1913173</v>
      </c>
      <c r="I17" s="404"/>
      <c r="J17" s="416"/>
      <c r="K17" s="405">
        <f>TRUNC((H17/H18*100000),5)/100000</f>
        <v>0.80364788700000001</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2380611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628842</v>
      </c>
      <c r="I24" s="422"/>
      <c r="J24" s="422"/>
      <c r="K24" s="423">
        <f>TRUNC(((H24/H25*100000)/100000),2)</f>
        <v>118.32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5314.3694400000004</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6" tint="0.79998168889431442"/>
  </sheetPr>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1"/>
      <c r="D3" s="1582"/>
      <c r="E3" s="1582"/>
      <c r="F3" s="1582"/>
      <c r="G3" s="1582"/>
      <c r="H3" s="1582"/>
      <c r="I3" s="1582"/>
      <c r="J3" s="1582"/>
      <c r="K3" s="1582"/>
      <c r="L3" s="1582"/>
      <c r="M3" s="1583"/>
      <c r="N3" s="1584"/>
    </row>
    <row r="4" spans="1:14" ht="13.5" customHeight="1" x14ac:dyDescent="0.2">
      <c r="A4" s="463" t="s">
        <v>1750</v>
      </c>
      <c r="B4" s="464"/>
      <c r="C4" s="465">
        <v>628842</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628842</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0</v>
      </c>
      <c r="N23" s="1710">
        <f>SUM(N21:N22)</f>
        <v>0</v>
      </c>
    </row>
    <row r="24" spans="1:14" ht="18" customHeight="1" thickTop="1" x14ac:dyDescent="0.2">
      <c r="A24" s="2132" t="s">
        <v>619</v>
      </c>
      <c r="B24" s="2133"/>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4" t="s">
        <v>550</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v>628842</v>
      </c>
      <c r="D38" s="466"/>
      <c r="E38" s="466"/>
      <c r="F38" s="466"/>
      <c r="G38" s="466"/>
      <c r="H38" s="466"/>
      <c r="I38" s="466"/>
      <c r="J38" s="467"/>
      <c r="K38" s="466"/>
      <c r="L38" s="481"/>
      <c r="M38" s="497"/>
      <c r="N38" s="497"/>
    </row>
    <row r="39" spans="1:14" s="329" customFormat="1" ht="13.5" customHeight="1" x14ac:dyDescent="0.2">
      <c r="A39" s="496" t="s">
        <v>360</v>
      </c>
      <c r="B39" s="483">
        <v>730</v>
      </c>
      <c r="C39" s="466"/>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c r="N40" s="497"/>
    </row>
    <row r="41" spans="1:14" ht="13.5" customHeight="1" thickBot="1" x14ac:dyDescent="0.25">
      <c r="A41" s="1758" t="s">
        <v>676</v>
      </c>
      <c r="B41" s="1728"/>
      <c r="C41" s="1710">
        <f>(SUM(C34,C37,C38,C39))</f>
        <v>628842</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0</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6" tint="0.79998168889431442"/>
  </sheetPr>
  <dimension ref="A1:M87"/>
  <sheetViews>
    <sheetView showGridLines="0" defaultGridColor="0" view="pageBreakPreview" colorId="8" zoomScaleNormal="110" zoomScaleSheetLayoutView="100" workbookViewId="0">
      <pane ySplit="2" topLeftCell="A54" activePane="bottomLeft" state="frozenSplit"/>
      <selection pane="bottomLeft" sqref="A1:A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5"/>
      <c r="D3" s="1596"/>
      <c r="E3" s="1596"/>
      <c r="F3" s="1596"/>
      <c r="G3" s="1596"/>
      <c r="H3" s="1596"/>
      <c r="I3" s="1596"/>
      <c r="J3" s="1596"/>
      <c r="K3" s="1597"/>
      <c r="L3" s="506"/>
    </row>
    <row r="4" spans="1:13" ht="15.75" customHeight="1" x14ac:dyDescent="0.2">
      <c r="A4" s="1954" t="s">
        <v>1579</v>
      </c>
      <c r="B4" s="1955">
        <v>1000</v>
      </c>
      <c r="C4" s="1764">
        <f>'Revenues 9-14'!C109</f>
        <v>0</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1600180</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780431</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2380611</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0</v>
      </c>
      <c r="D9" s="516"/>
      <c r="E9" s="481"/>
      <c r="F9" s="481"/>
      <c r="G9" s="517"/>
      <c r="H9" s="481"/>
      <c r="I9" s="509" t="s">
        <v>1231</v>
      </c>
      <c r="J9" s="478"/>
      <c r="K9" s="481"/>
      <c r="L9" s="347"/>
    </row>
    <row r="10" spans="1:13" s="519" customFormat="1" ht="13.5" thickBot="1" x14ac:dyDescent="0.25">
      <c r="A10" s="1758" t="s">
        <v>1235</v>
      </c>
      <c r="B10" s="1731"/>
      <c r="C10" s="1710">
        <f>SUM(C8:C9)</f>
        <v>2380611</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30" t="s">
        <v>1238</v>
      </c>
      <c r="B11" s="2131"/>
      <c r="C11" s="1592"/>
      <c r="D11" s="1593"/>
      <c r="E11" s="1593"/>
      <c r="F11" s="1593"/>
      <c r="G11" s="1593"/>
      <c r="H11" s="1593"/>
      <c r="I11" s="1593"/>
      <c r="J11" s="1593"/>
      <c r="K11" s="1594"/>
      <c r="L11" s="518"/>
    </row>
    <row r="12" spans="1:13" ht="15.75" customHeight="1" x14ac:dyDescent="0.2">
      <c r="A12" s="1598" t="s">
        <v>476</v>
      </c>
      <c r="B12" s="1600">
        <v>1000</v>
      </c>
      <c r="C12" s="1764">
        <f>'Expenditures 15-22'!K33</f>
        <v>15042</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213805</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1684326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1913173</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1913173</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6" t="s">
        <v>1754</v>
      </c>
      <c r="B20" s="2147"/>
      <c r="C20" s="1768">
        <f>C8-C17</f>
        <v>467438</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0" t="s">
        <v>392</v>
      </c>
      <c r="B44" s="2161"/>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6" t="s">
        <v>460</v>
      </c>
      <c r="B76" s="2137"/>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8" t="s">
        <v>1239</v>
      </c>
      <c r="B77" s="2139"/>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2" t="s">
        <v>618</v>
      </c>
      <c r="B78" s="2143"/>
      <c r="C78" s="1724">
        <f t="shared" ref="C78:K78" si="9">C20+C77</f>
        <v>467438</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2071</v>
      </c>
      <c r="B79" s="534"/>
      <c r="C79" s="478">
        <v>161404</v>
      </c>
      <c r="D79" s="535"/>
      <c r="E79" s="535"/>
      <c r="F79" s="535"/>
      <c r="G79" s="535"/>
      <c r="H79" s="535"/>
      <c r="I79" s="535"/>
      <c r="J79" s="535"/>
      <c r="K79" s="535"/>
      <c r="L79" s="347"/>
    </row>
    <row r="80" spans="1:12" x14ac:dyDescent="0.2">
      <c r="A80" s="2148" t="s">
        <v>1898</v>
      </c>
      <c r="B80" s="2149"/>
      <c r="C80" s="467"/>
      <c r="D80" s="467"/>
      <c r="E80" s="467"/>
      <c r="F80" s="467"/>
      <c r="G80" s="467"/>
      <c r="H80" s="467"/>
      <c r="I80" s="467"/>
      <c r="J80" s="467"/>
      <c r="K80" s="467"/>
      <c r="L80" s="347"/>
    </row>
    <row r="81" spans="1:12" ht="13.5" thickBot="1" x14ac:dyDescent="0.25">
      <c r="A81" s="2140" t="s">
        <v>2072</v>
      </c>
      <c r="B81" s="2141"/>
      <c r="C81" s="1710">
        <f>(SUM(C78:C80))</f>
        <v>628842</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467438</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0.74333139325935604</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6" tint="0.79998168889431442"/>
  </sheetPr>
  <dimension ref="A1:L286"/>
  <sheetViews>
    <sheetView showGridLines="0" defaultGridColor="0" view="pageBreakPreview" colorId="8" zoomScale="75" zoomScaleNormal="110" zoomScaleSheetLayoutView="75" workbookViewId="0">
      <pane ySplit="2" topLeftCell="A201" activePane="bottomLeft" state="frozen"/>
      <selection pane="bottomLeft" activeCell="C227" sqref="C227"/>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1905</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0</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0</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0</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1600180</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1600180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4" t="s">
        <v>418</v>
      </c>
      <c r="B172" s="2165"/>
      <c r="C172" s="1744">
        <f t="shared" ref="C172:K172" si="6">SUM(C131,C140,C144,C145:C149,C154,C155:C170,C171)</f>
        <v>1600180</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1600180</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0" t="s">
        <v>1764</v>
      </c>
      <c r="B178" s="217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4" t="s">
        <v>1763</v>
      </c>
      <c r="B179" s="217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2" t="s">
        <v>818</v>
      </c>
      <c r="B184" s="217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8" t="s">
        <v>1906</v>
      </c>
      <c r="B185" s="216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780431</v>
      </c>
      <c r="D227" s="466"/>
      <c r="E227" s="468"/>
      <c r="F227" s="468"/>
      <c r="G227" s="466"/>
      <c r="H227" s="468"/>
      <c r="I227" s="468"/>
      <c r="J227" s="468"/>
      <c r="K227" s="468"/>
    </row>
    <row r="228" spans="1:11" ht="12.75" customHeight="1" thickBot="1" x14ac:dyDescent="0.25">
      <c r="A228" s="1745" t="s">
        <v>1145</v>
      </c>
      <c r="B228" s="1746"/>
      <c r="C228" s="1729">
        <f>SUM(C226:C227)</f>
        <v>780431</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780431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780431</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2380611</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6" tint="0.79998168889431442"/>
  </sheetPr>
  <dimension ref="A1:N368"/>
  <sheetViews>
    <sheetView showGridLines="0" defaultGridColor="0" colorId="8" zoomScale="85" zoomScaleNormal="85" workbookViewId="0">
      <pane ySplit="2" topLeftCell="A358" activePane="bottomLeft" state="frozen"/>
      <selection pane="bottomLeft" sqref="A1:A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4" t="s">
        <v>315</v>
      </c>
      <c r="B3" s="2185"/>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v>10832</v>
      </c>
      <c r="G13" s="466"/>
      <c r="H13" s="466"/>
      <c r="I13" s="467">
        <v>4210</v>
      </c>
      <c r="J13" s="467"/>
      <c r="K13" s="1693">
        <f t="shared" si="0"/>
        <v>15042</v>
      </c>
      <c r="L13" s="466"/>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0</v>
      </c>
      <c r="D33" s="1692">
        <f t="shared" ref="D33:L33" si="1">SUM(D5:D32)</f>
        <v>0</v>
      </c>
      <c r="E33" s="1692">
        <f t="shared" si="1"/>
        <v>0</v>
      </c>
      <c r="F33" s="1692">
        <f t="shared" si="1"/>
        <v>10832</v>
      </c>
      <c r="G33" s="1692">
        <f t="shared" si="1"/>
        <v>0</v>
      </c>
      <c r="H33" s="1692">
        <f t="shared" si="1"/>
        <v>0</v>
      </c>
      <c r="I33" s="1692">
        <f t="shared" si="1"/>
        <v>4210</v>
      </c>
      <c r="J33" s="1692">
        <f t="shared" si="1"/>
        <v>0</v>
      </c>
      <c r="K33" s="1692">
        <f t="shared" si="1"/>
        <v>15042</v>
      </c>
      <c r="L33" s="1692">
        <f t="shared" si="1"/>
        <v>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v>62129</v>
      </c>
      <c r="F37" s="466"/>
      <c r="G37" s="466"/>
      <c r="H37" s="466"/>
      <c r="I37" s="467"/>
      <c r="J37" s="467"/>
      <c r="K37" s="1693">
        <f t="shared" si="2"/>
        <v>62129</v>
      </c>
      <c r="L37" s="466"/>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62129</v>
      </c>
      <c r="F42" s="1692">
        <f t="shared" si="3"/>
        <v>0</v>
      </c>
      <c r="G42" s="1692">
        <f t="shared" si="3"/>
        <v>0</v>
      </c>
      <c r="H42" s="1692">
        <f t="shared" si="3"/>
        <v>0</v>
      </c>
      <c r="I42" s="1692">
        <f t="shared" si="3"/>
        <v>0</v>
      </c>
      <c r="J42" s="1692">
        <f t="shared" si="3"/>
        <v>0</v>
      </c>
      <c r="K42" s="1692">
        <f t="shared" si="3"/>
        <v>62129</v>
      </c>
      <c r="L42" s="1692">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6718</v>
      </c>
      <c r="D44" s="481">
        <v>933</v>
      </c>
      <c r="E44" s="481">
        <v>63271</v>
      </c>
      <c r="F44" s="481"/>
      <c r="G44" s="481"/>
      <c r="H44" s="481"/>
      <c r="I44" s="467"/>
      <c r="J44" s="467"/>
      <c r="K44" s="1694">
        <f>SUM(C44:J44)</f>
        <v>70922</v>
      </c>
      <c r="L44" s="481"/>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6718</v>
      </c>
      <c r="D47" s="1692">
        <f t="shared" ref="D47:K47" si="4">SUM(D44:D46)</f>
        <v>933</v>
      </c>
      <c r="E47" s="1692">
        <f t="shared" si="4"/>
        <v>63271</v>
      </c>
      <c r="F47" s="1692">
        <f t="shared" si="4"/>
        <v>0</v>
      </c>
      <c r="G47" s="1692">
        <f t="shared" si="4"/>
        <v>0</v>
      </c>
      <c r="H47" s="1692">
        <f t="shared" si="4"/>
        <v>0</v>
      </c>
      <c r="I47" s="1692">
        <f t="shared" si="4"/>
        <v>0</v>
      </c>
      <c r="J47" s="1692">
        <f t="shared" si="4"/>
        <v>0</v>
      </c>
      <c r="K47" s="1692">
        <f t="shared" si="4"/>
        <v>70922</v>
      </c>
      <c r="L47" s="1692">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c r="D50" s="466"/>
      <c r="E50" s="466"/>
      <c r="F50" s="466"/>
      <c r="G50" s="466"/>
      <c r="H50" s="466"/>
      <c r="I50" s="467"/>
      <c r="J50" s="467"/>
      <c r="K50" s="1694">
        <f>SUM(C50:J50)</f>
        <v>0</v>
      </c>
      <c r="L50" s="466"/>
    </row>
    <row r="51" spans="1:14" x14ac:dyDescent="0.2">
      <c r="A51" s="1526" t="s">
        <v>44</v>
      </c>
      <c r="B51" s="615">
        <v>2330</v>
      </c>
      <c r="C51" s="466">
        <v>57283</v>
      </c>
      <c r="D51" s="466">
        <v>18413</v>
      </c>
      <c r="E51" s="466">
        <v>5058</v>
      </c>
      <c r="F51" s="466"/>
      <c r="G51" s="466"/>
      <c r="H51" s="466"/>
      <c r="I51" s="467"/>
      <c r="J51" s="467"/>
      <c r="K51" s="1694">
        <f>SUM(C51:J51)</f>
        <v>80754</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57283</v>
      </c>
      <c r="D53" s="1692">
        <f t="shared" ref="D53:L53" si="5">SUM(D49:D52)</f>
        <v>18413</v>
      </c>
      <c r="E53" s="1692">
        <f t="shared" si="5"/>
        <v>5058</v>
      </c>
      <c r="F53" s="1692">
        <f t="shared" si="5"/>
        <v>0</v>
      </c>
      <c r="G53" s="1692">
        <f t="shared" si="5"/>
        <v>0</v>
      </c>
      <c r="H53" s="1692">
        <f t="shared" si="5"/>
        <v>0</v>
      </c>
      <c r="I53" s="1692">
        <f t="shared" si="5"/>
        <v>0</v>
      </c>
      <c r="J53" s="1692">
        <f t="shared" si="5"/>
        <v>0</v>
      </c>
      <c r="K53" s="1692">
        <f t="shared" si="5"/>
        <v>80754</v>
      </c>
      <c r="L53" s="1692">
        <f t="shared" si="5"/>
        <v>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0</v>
      </c>
      <c r="D65" s="1692">
        <f t="shared" ref="D65:L65" si="8">SUM(D59:D64)</f>
        <v>0</v>
      </c>
      <c r="E65" s="1692">
        <f t="shared" si="8"/>
        <v>0</v>
      </c>
      <c r="F65" s="1692">
        <f t="shared" si="8"/>
        <v>0</v>
      </c>
      <c r="G65" s="1692">
        <f t="shared" si="8"/>
        <v>0</v>
      </c>
      <c r="H65" s="1692">
        <f t="shared" si="8"/>
        <v>0</v>
      </c>
      <c r="I65" s="1692">
        <f t="shared" si="8"/>
        <v>0</v>
      </c>
      <c r="J65" s="1692">
        <f t="shared" si="8"/>
        <v>0</v>
      </c>
      <c r="K65" s="1692">
        <f t="shared" si="8"/>
        <v>0</v>
      </c>
      <c r="L65" s="1692">
        <f t="shared" si="8"/>
        <v>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64001</v>
      </c>
      <c r="D74" s="1699">
        <f t="shared" ref="D74:K74" si="10">SUM(D42,D47,D53,D57,D65,D72,D73)</f>
        <v>19346</v>
      </c>
      <c r="E74" s="1699">
        <f t="shared" si="10"/>
        <v>130458</v>
      </c>
      <c r="F74" s="1699">
        <f t="shared" si="10"/>
        <v>0</v>
      </c>
      <c r="G74" s="1699">
        <f t="shared" si="10"/>
        <v>0</v>
      </c>
      <c r="H74" s="1699">
        <f t="shared" si="10"/>
        <v>0</v>
      </c>
      <c r="I74" s="1699">
        <f t="shared" si="10"/>
        <v>0</v>
      </c>
      <c r="J74" s="1699">
        <f t="shared" si="10"/>
        <v>0</v>
      </c>
      <c r="K74" s="1699">
        <f t="shared" si="10"/>
        <v>213805</v>
      </c>
      <c r="L74" s="1699">
        <f>SUM(L42,L47,L53,L57,L65,L72,L73)</f>
        <v>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1684326</v>
      </c>
      <c r="I81" s="477"/>
      <c r="J81" s="477"/>
      <c r="K81" s="1693">
        <f t="shared" si="11"/>
        <v>1684326</v>
      </c>
      <c r="L81" s="466">
        <v>1738695</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1684326</v>
      </c>
      <c r="I84" s="477"/>
      <c r="J84" s="477"/>
      <c r="K84" s="1692">
        <f>SUM(K78:K83)</f>
        <v>1684326</v>
      </c>
      <c r="L84" s="1692">
        <f>SUM(L78:L83)</f>
        <v>1738695</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1684326</v>
      </c>
      <c r="I102" s="477"/>
      <c r="J102" s="477"/>
      <c r="K102" s="1699">
        <f>SUM(K84,K92,K100,K101)</f>
        <v>1684326</v>
      </c>
      <c r="L102" s="1699">
        <f>SUM(L84,L92,L100,L101)</f>
        <v>1738695</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64001</v>
      </c>
      <c r="D114" s="1692">
        <f t="shared" ref="D114:K114" si="13">SUM(D33,D74,D75,D102,D112,D113)</f>
        <v>19346</v>
      </c>
      <c r="E114" s="1692">
        <f t="shared" si="13"/>
        <v>130458</v>
      </c>
      <c r="F114" s="1692">
        <f t="shared" si="13"/>
        <v>10832</v>
      </c>
      <c r="G114" s="1692">
        <f t="shared" si="13"/>
        <v>0</v>
      </c>
      <c r="H114" s="1692">
        <f>SUM(H33,H74,H75,H102,H112,H113)</f>
        <v>1684326</v>
      </c>
      <c r="I114" s="1692">
        <f t="shared" si="13"/>
        <v>4210</v>
      </c>
      <c r="J114" s="1692">
        <f t="shared" si="13"/>
        <v>0</v>
      </c>
      <c r="K114" s="1692">
        <f t="shared" si="13"/>
        <v>1913173</v>
      </c>
      <c r="L114" s="1692">
        <f>SUM(L33,L74,L75,L102,L112,L113)</f>
        <v>1738695</v>
      </c>
    </row>
    <row r="115" spans="1:14" ht="13.5" thickTop="1" x14ac:dyDescent="0.2">
      <c r="A115" s="2176" t="s">
        <v>1053</v>
      </c>
      <c r="B115" s="2177"/>
      <c r="C115" s="619"/>
      <c r="D115" s="619"/>
      <c r="E115" s="619"/>
      <c r="F115" s="619"/>
      <c r="G115" s="619"/>
      <c r="H115" s="619"/>
      <c r="I115" s="619"/>
      <c r="J115" s="619"/>
      <c r="K115" s="1706">
        <f>'Revenues 9-14'!C275-'Expenditures 15-22'!K114</f>
        <v>467438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314</v>
      </c>
      <c r="B117" s="2182"/>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3" t="s">
        <v>641</v>
      </c>
      <c r="B151" s="2173"/>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6" t="s">
        <v>1240</v>
      </c>
      <c r="B152" s="2197"/>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642</v>
      </c>
      <c r="B154" s="218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6" t="s">
        <v>1053</v>
      </c>
      <c r="B175" s="2177"/>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76" t="s">
        <v>1053</v>
      </c>
      <c r="B211" s="2177"/>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1022</v>
      </c>
      <c r="B213" s="2199"/>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4" t="s">
        <v>526</v>
      </c>
      <c r="B295" s="2195"/>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76" t="s">
        <v>1053</v>
      </c>
      <c r="B296" s="2177"/>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1" t="s">
        <v>295</v>
      </c>
      <c r="B312" s="2192"/>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7" t="s">
        <v>1053</v>
      </c>
      <c r="B313" s="2188"/>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954</v>
      </c>
      <c r="B317" s="2201"/>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9" t="s">
        <v>1053</v>
      </c>
      <c r="B343" s="2190"/>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1023</v>
      </c>
      <c r="B345" s="2180"/>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6" t="s">
        <v>1053</v>
      </c>
      <c r="B368" s="2177"/>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4d435f69-8686-490b-bd6d-b153bf22ab50"/>
    <ds:schemaRef ds:uri="http://purl.org/dc/terms/"/>
    <ds:schemaRef ds:uri="http://schemas.microsoft.com/office/infopath/2007/PartnerControls"/>
    <ds:schemaRef ds:uri="http://www.w3.org/XML/1998/namespace"/>
    <ds:schemaRef ds:uri="http://schemas.microsoft.com/office/2006/documentManagement/types"/>
    <ds:schemaRef ds:uri="http://schemas.microsoft.com/sharepoint/v3"/>
    <ds:schemaRef ds:uri="http://schemas.openxmlformats.org/package/2006/metadata/core-properties"/>
    <ds:schemaRef ds:uri="d21dc803-237d-4c68-8692-8d731fd29118"/>
    <ds:schemaRef ds:uri="6ce3111e-7420-4802-b50a-75d4e9a0b980"/>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2019-01-15T18:59:03Z</cp:lastPrinted>
  <dcterms:created xsi:type="dcterms:W3CDTF">2003-10-29T19:06:34Z</dcterms:created>
  <dcterms:modified xsi:type="dcterms:W3CDTF">2019-01-16T14:45:12Z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