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L285" i="29" l="1"/>
  <c r="N21" i="3"/>
  <c r="L160" i="29"/>
  <c r="B7795" i="106"/>
  <c r="K159" i="29"/>
  <c r="B7782" i="106" s="1"/>
  <c r="B7781" i="106"/>
  <c r="B7777" i="106"/>
  <c r="K157" i="29"/>
  <c r="B7778" i="106" s="1"/>
  <c r="H160" i="29"/>
  <c r="E137" i="29"/>
  <c r="E139" i="29" s="1"/>
  <c r="B7774" i="106"/>
  <c r="K133" i="29"/>
  <c r="B7776" i="106" s="1"/>
  <c r="K356" i="29"/>
  <c r="L357" i="29"/>
  <c r="K332" i="29"/>
  <c r="B7785" i="106"/>
  <c r="H334" i="29"/>
  <c r="B7789" i="106" s="1"/>
  <c r="B7793" i="106"/>
  <c r="K355" i="29"/>
  <c r="B7794" i="106" s="1"/>
  <c r="K354" i="29"/>
  <c r="B7792" i="106" s="1"/>
  <c r="H357" i="29"/>
  <c r="B7791" i="106"/>
  <c r="H137" i="29"/>
  <c r="B7775" i="106"/>
  <c r="K158" i="29"/>
  <c r="B7780" i="106" s="1"/>
  <c r="B7779" i="106"/>
  <c r="K282" i="29"/>
  <c r="B7784" i="106" s="1"/>
  <c r="B7783" i="106"/>
  <c r="D285" i="29"/>
  <c r="L137" i="29"/>
  <c r="B7787" i="106"/>
  <c r="K333" i="29"/>
  <c r="B7788" i="106" s="1"/>
  <c r="L334" i="29"/>
  <c r="G40" i="108"/>
  <c r="B7799" i="106"/>
  <c r="F141" i="181"/>
  <c r="B7798" i="106" s="1"/>
  <c r="E40" i="108"/>
  <c r="K334" i="29" l="1"/>
  <c r="B7786" i="106"/>
  <c r="J15" i="4"/>
  <c r="B7796" i="106" s="1"/>
  <c r="B7790" i="106"/>
  <c r="F74" i="34"/>
  <c r="K357" i="29"/>
  <c r="K15" i="4" s="1"/>
  <c r="K160" i="29"/>
  <c r="B4" i="179"/>
  <c r="F60" i="34" l="1"/>
  <c r="E15" i="4"/>
  <c r="D17" i="17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J85" i="28"/>
  <c r="B7758" i="106" s="1"/>
  <c r="D7758" i="106" s="1"/>
  <c r="J88" i="28"/>
  <c r="K6" i="29"/>
  <c r="B7763" i="106" s="1"/>
  <c r="D7763" i="106" s="1"/>
  <c r="B7762" i="106"/>
  <c r="D7762" i="106" s="1"/>
  <c r="K12" i="12"/>
  <c r="K23" i="12"/>
  <c r="K24" i="12" s="1"/>
  <c r="B7733" i="106" s="1"/>
  <c r="D7733" i="106" s="1"/>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C211" i="5"/>
  <c r="B5260" i="106" s="1"/>
  <c r="D5260" i="106" s="1"/>
  <c r="C216" i="5"/>
  <c r="C224" i="5"/>
  <c r="C228" i="5"/>
  <c r="C259" i="5"/>
  <c r="B6833" i="106" s="1"/>
  <c r="D6833" i="106" s="1"/>
  <c r="B7761" i="106"/>
  <c r="D7761" i="106" s="1"/>
  <c r="L127" i="29"/>
  <c r="L129" i="29" s="1"/>
  <c r="L139" i="29"/>
  <c r="L149" i="29"/>
  <c r="I7" i="145"/>
  <c r="I6" i="145"/>
  <c r="D82" i="36"/>
  <c r="D78" i="36"/>
  <c r="K75" i="29"/>
  <c r="F52" i="34" s="1"/>
  <c r="K130" i="29"/>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4"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1" i="108"/>
  <c r="F36" i="108"/>
  <c r="G28" i="108"/>
  <c r="D36" i="108"/>
  <c r="E31" i="108"/>
  <c r="G31"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D22" i="37"/>
  <c r="J22" i="37"/>
  <c r="F38" i="34" l="1"/>
  <c r="G33" i="108"/>
  <c r="C14" i="4"/>
  <c r="B2558" i="106" s="1"/>
  <c r="D2558" i="106" s="1"/>
  <c r="G14" i="4"/>
  <c r="B2609" i="106" s="1"/>
  <c r="D2609" i="106" s="1"/>
  <c r="F37" i="108"/>
  <c r="D37" i="108"/>
  <c r="F71" i="34"/>
  <c r="D27" i="108"/>
  <c r="D41" i="108" s="1"/>
  <c r="E43" i="108" s="1"/>
  <c r="F28" i="108"/>
  <c r="N22" i="3"/>
  <c r="B283" i="106" s="1"/>
  <c r="D283" i="106" s="1"/>
  <c r="K26" i="12"/>
  <c r="B7743" i="106" s="1"/>
  <c r="D7743" i="106" s="1"/>
  <c r="L22" i="37"/>
  <c r="F49" i="34"/>
  <c r="B5246" i="106"/>
  <c r="D5246" i="106" s="1"/>
  <c r="E10" i="108"/>
  <c r="B3730" i="106" s="1"/>
  <c r="D3730" i="106" s="1"/>
  <c r="D24" i="37"/>
  <c r="B4270" i="106" s="1"/>
  <c r="D4270" i="106" s="1"/>
  <c r="I210" i="29"/>
  <c r="E35" i="108"/>
  <c r="F36" i="34"/>
  <c r="G35" i="108"/>
  <c r="E28" i="108"/>
  <c r="F45" i="34"/>
  <c r="F41" i="34"/>
  <c r="F37" i="34"/>
  <c r="F44" i="34"/>
  <c r="B7078" i="106"/>
  <c r="D7078" i="106" s="1"/>
  <c r="F67" i="34"/>
  <c r="F64" i="34"/>
  <c r="F14" i="4"/>
  <c r="B2597" i="106" s="1"/>
  <c r="D2597" i="106" s="1"/>
  <c r="F62" i="34"/>
  <c r="G39" i="108"/>
  <c r="J210" i="29"/>
  <c r="B7072" i="106" s="1"/>
  <c r="D7072" i="106" s="1"/>
  <c r="G29" i="108"/>
  <c r="B7047" i="106"/>
  <c r="D7047" i="106" s="1"/>
  <c r="B2805" i="106"/>
  <c r="D2805" i="106" s="1"/>
  <c r="D14" i="4"/>
  <c r="B2570" i="106" s="1"/>
  <c r="D2570" i="106" s="1"/>
  <c r="F56" i="34"/>
  <c r="B3488" i="106"/>
  <c r="D3488" i="106" s="1"/>
  <c r="E26" i="108"/>
  <c r="G26" i="108"/>
  <c r="B1274" i="106"/>
  <c r="D1274" i="106" s="1"/>
  <c r="B1223" i="106"/>
  <c r="D1223" i="106" s="1"/>
  <c r="H112" i="29"/>
  <c r="B7018" i="106" s="1"/>
  <c r="D7018" i="106" s="1"/>
  <c r="B6995" i="106"/>
  <c r="D6995" i="106" s="1"/>
  <c r="E38" i="108"/>
  <c r="G38" i="108"/>
  <c r="E29" i="108"/>
  <c r="B1124" i="106"/>
  <c r="D1124" i="106" s="1"/>
  <c r="B2724" i="106"/>
  <c r="D2724" i="106" s="1"/>
  <c r="F34" i="34"/>
  <c r="F35" i="34"/>
  <c r="F50" i="34"/>
  <c r="L367" i="29"/>
  <c r="F42" i="34"/>
  <c r="K285" i="29"/>
  <c r="B3724" i="106" s="1"/>
  <c r="D3724" i="106" s="1"/>
  <c r="D31" i="36"/>
  <c r="D11" i="37"/>
  <c r="H29" i="118"/>
  <c r="D9" i="7"/>
  <c r="B1767" i="106" s="1"/>
  <c r="D1767" i="106" s="1"/>
  <c r="B6289" i="106"/>
  <c r="D6289" i="106" s="1"/>
  <c r="F131" i="34"/>
  <c r="G15" i="145"/>
  <c r="L13" i="11"/>
  <c r="B2060" i="106" s="1"/>
  <c r="D2060" i="106" s="1"/>
  <c r="B7727" i="106"/>
  <c r="D7727" i="106" s="1"/>
  <c r="G352" i="29"/>
  <c r="B3649" i="106" s="1"/>
  <c r="D3649" i="106" s="1"/>
  <c r="K184" i="29"/>
  <c r="F13" i="4" s="1"/>
  <c r="B2596" i="106" s="1"/>
  <c r="D2596" i="106" s="1"/>
  <c r="H342" i="29"/>
  <c r="B7221" i="106" s="1"/>
  <c r="D7221" i="106" s="1"/>
  <c r="H33" i="118"/>
  <c r="G5" i="4"/>
  <c r="B3409" i="106" s="1"/>
  <c r="D3409" i="106" s="1"/>
  <c r="D5" i="7"/>
  <c r="B1761" i="106" s="1"/>
  <c r="D1761" i="106" s="1"/>
  <c r="D15" i="7"/>
  <c r="B1772" i="106" s="1"/>
  <c r="D1772" i="106" s="1"/>
  <c r="I274" i="5"/>
  <c r="B4435" i="106" s="1"/>
  <c r="D4435" i="106" s="1"/>
  <c r="F130" i="34"/>
  <c r="F128" i="34"/>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L312" i="29"/>
  <c r="K274" i="5"/>
  <c r="B6022" i="106" s="1"/>
  <c r="D6022" i="106" s="1"/>
  <c r="D13" i="7"/>
  <c r="B3726" i="106" s="1"/>
  <c r="D3726" i="106" s="1"/>
  <c r="H28" i="118"/>
  <c r="D69" i="36"/>
  <c r="F19" i="7"/>
  <c r="B1807" i="106" s="1"/>
  <c r="D1807" i="106" s="1"/>
  <c r="D7" i="7"/>
  <c r="B1763" i="106" s="1"/>
  <c r="D1763" i="106" s="1"/>
  <c r="E174" i="29"/>
  <c r="B1309" i="106" s="1"/>
  <c r="D1309" i="106" s="1"/>
  <c r="H109" i="5"/>
  <c r="B6025" i="106" s="1"/>
  <c r="D6025" i="106" s="1"/>
  <c r="F172" i="5"/>
  <c r="B5644" i="106" s="1"/>
  <c r="D5644" i="106" s="1"/>
  <c r="K173" i="5"/>
  <c r="K6" i="4" s="1"/>
  <c r="B3570" i="106" s="1"/>
  <c r="D3570" i="106" s="1"/>
  <c r="C109" i="5"/>
  <c r="B5121" i="106" s="1"/>
  <c r="D5121" i="106" s="1"/>
  <c r="J77" i="4"/>
  <c r="B6262" i="106" s="1"/>
  <c r="D6262" i="106" s="1"/>
  <c r="H76" i="4"/>
  <c r="B3298" i="106" s="1"/>
  <c r="D3298" i="106" s="1"/>
  <c r="C172" i="5"/>
  <c r="B1746" i="106"/>
  <c r="D1746" i="106" s="1"/>
  <c r="D109" i="5"/>
  <c r="B4413" i="106"/>
  <c r="D4413" i="106" s="1"/>
  <c r="G172" i="5"/>
  <c r="G109" i="5"/>
  <c r="F94" i="34"/>
  <c r="B5096" i="106"/>
  <c r="D5096" i="106" s="1"/>
  <c r="B7205" i="106"/>
  <c r="D7205" i="106" s="1"/>
  <c r="I342" i="29"/>
  <c r="B7222" i="106" s="1"/>
  <c r="D7222" i="106" s="1"/>
  <c r="B7034" i="106"/>
  <c r="D7034" i="106" s="1"/>
  <c r="J129" i="29"/>
  <c r="B7038" i="106" s="1"/>
  <c r="D7038" i="106" s="1"/>
  <c r="H173" i="5"/>
  <c r="J274" i="5"/>
  <c r="B7054" i="106" s="1"/>
  <c r="D7054" i="106" s="1"/>
  <c r="B7041" i="106"/>
  <c r="D7041" i="106" s="1"/>
  <c r="D11" i="7"/>
  <c r="B1768" i="106" s="1"/>
  <c r="D1768" i="106" s="1"/>
  <c r="F136" i="34"/>
  <c r="I173" i="5"/>
  <c r="B4216" i="106" s="1"/>
  <c r="D4216" i="106" s="1"/>
  <c r="B5513" i="106"/>
  <c r="D5513" i="106" s="1"/>
  <c r="E109" i="5"/>
  <c r="E4" i="4" s="1"/>
  <c r="B2630" i="106" s="1"/>
  <c r="D2630" i="106" s="1"/>
  <c r="B7199" i="106"/>
  <c r="D7199" i="106" s="1"/>
  <c r="C342" i="29"/>
  <c r="B7216" i="106" s="1"/>
  <c r="D7216" i="106" s="1"/>
  <c r="B7231" i="106"/>
  <c r="D7231" i="106" s="1"/>
  <c r="J352" i="29"/>
  <c r="F46" i="34"/>
  <c r="J41" i="3"/>
  <c r="B6216" i="106" s="1"/>
  <c r="D6216" i="106" s="1"/>
  <c r="K350" i="29"/>
  <c r="F77" i="4"/>
  <c r="B3255" i="106" s="1"/>
  <c r="D3255" i="106" s="1"/>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7270" i="106"/>
  <c r="N23" i="3" l="1"/>
  <c r="B284" i="106" s="1"/>
  <c r="D284" i="106" s="1"/>
  <c r="E30" i="108"/>
  <c r="G30" i="108"/>
  <c r="B7071" i="106"/>
  <c r="D7071" i="106" s="1"/>
  <c r="F66" i="34"/>
  <c r="B3628" i="106"/>
  <c r="D3628" i="106" s="1"/>
  <c r="G367" i="29"/>
  <c r="B3650" i="106" s="1"/>
  <c r="D3650" i="106" s="1"/>
  <c r="J16" i="4"/>
  <c r="B6226" i="106" s="1"/>
  <c r="D6226" i="106" s="1"/>
  <c r="B1381" i="106"/>
  <c r="D1381" i="106" s="1"/>
  <c r="B1328" i="106"/>
  <c r="D1328" i="106" s="1"/>
  <c r="B1317" i="106"/>
  <c r="D1317" i="106" s="1"/>
  <c r="J151" i="29"/>
  <c r="B7052" i="106" s="1"/>
  <c r="D7052" i="106" s="1"/>
  <c r="B1266" i="106"/>
  <c r="D1266" i="106" s="1"/>
  <c r="F73" i="34"/>
  <c r="G15" i="4"/>
  <c r="B6032" i="106" s="1"/>
  <c r="D6032" i="106" s="1"/>
  <c r="I151" i="29"/>
  <c r="F59" i="34" s="1"/>
  <c r="L16" i="11"/>
  <c r="B2061" i="106" s="1"/>
  <c r="D2061" i="106" s="1"/>
  <c r="K28" i="118"/>
  <c r="O27" i="118" s="1"/>
  <c r="O29" i="118" s="1"/>
  <c r="D7256" i="106"/>
  <c r="D7251" i="106"/>
  <c r="I7" i="4"/>
  <c r="B4444" i="106" s="1"/>
  <c r="D4444" i="106" s="1"/>
  <c r="B5914" i="106"/>
  <c r="D5914" i="106" s="1"/>
  <c r="K7" i="4"/>
  <c r="B3718" i="106" s="1"/>
  <c r="D3718" i="106" s="1"/>
  <c r="B6014" i="106"/>
  <c r="D6014" i="106" s="1"/>
  <c r="I6" i="4"/>
  <c r="B5011" i="106" s="1"/>
  <c r="D5011"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M23" i="3"/>
  <c r="B6297" i="106"/>
  <c r="D6297" i="106" s="1"/>
  <c r="D51" i="36"/>
  <c r="D44" i="36"/>
  <c r="D7253" i="106"/>
  <c r="D7250" i="106"/>
  <c r="D7252" i="106"/>
  <c r="D7254" i="106"/>
  <c r="B2031" i="106"/>
  <c r="D2031" i="106" s="1"/>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l="1"/>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<sst xmlns="http://schemas.openxmlformats.org/spreadsheetml/2006/main" count="5024" uniqueCount="2095">
  <si>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</si>
  <si>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</si>
  <si>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</si>
  <si>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</si>
  <si>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</si>
  <si>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</si>
  <si>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</si>
  <si>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</si>
  <si>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</si>
  <si>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</si>
  <si>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</si>
  <si>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</si>
  <si>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</si>
  <si>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</si>
  <si>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</si>
  <si>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</si>
  <si>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</si>
  <si>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</si>
  <si>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</si>
  <si>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</si>
  <si>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</si>
  <si>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</si>
  <si>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</si>
  <si>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</si>
  <si>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</si>
  <si>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</si>
  <si>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</si>
  <si>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</si>
  <si>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</si>
  <si>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</si>
  <si>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</si>
  <si>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</si>
  <si>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</si>
  <si>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</si>
  <si>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</si>
  <si>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</si>
  <si>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</si>
  <si>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</si>
  <si>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</si>
  <si>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</si>
  <si>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</si>
  <si>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</si>
  <si>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</si>
  <si>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</si>
  <si>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</si>
  <si>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</si>
  <si>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</si>
  <si>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</si>
  <si>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</si>
  <si>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</si>
  <si>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</si>
  <si>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</si>
  <si>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</si>
  <si>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</si>
  <si>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</si>
  <si>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</si>
  <si>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</si>
  <si>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</si>
  <si>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</si>
  <si>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</si>
  <si>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</si>
  <si>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</si>
  <si>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</si>
  <si>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</si>
  <si>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</si>
  <si>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</si>
  <si>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</si>
  <si>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</si>
  <si>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</si>
  <si>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</si>
  <si>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</si>
  <si>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</si>
  <si>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</si>
  <si>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</si>
  <si>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</si>
  <si>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</si>
  <si>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</si>
  <si>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</si>
  <si>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</si>
  <si>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</si>
  <si>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</si>
  <si>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</si>
  <si>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</si>
  <si>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</si>
  <si>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</si>
  <si>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</si>
  <si>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</si>
  <si>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</si>
  <si>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</si>
  <si>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</si>
  <si>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</si>
  <si>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</si>
  <si>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</si>
  <si>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</si>
  <si>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</si>
  <si>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</si>
  <si>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</si>
  <si>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</si>
  <si>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</si>
  <si>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</si>
  <si>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</si>
  <si>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</si>
  <si>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</si>
  <si>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</si>
  <si>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</si>
  <si>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</si>
  <si>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</si>
  <si>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</si>
  <si>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</si>
  <si>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</si>
  <si>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</si>
  <si>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</si>
  <si>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</si>
  <si>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</si>
  <si>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</si>
  <si>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</si>
  <si>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</si>
  <si>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</si>
  <si>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</si>
  <si>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</si>
  <si>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</si>
  <si>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</si>
  <si>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</si>
  <si>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</si>
  <si>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</si>
  <si>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</si>
  <si>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</si>
  <si>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</si>
  <si>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</si>
  <si>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</si>
  <si>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</si>
  <si>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</si>
  <si>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</si>
  <si>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</si>
  <si>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</si>
  <si>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</si>
  <si>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</si>
  <si>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</si>
  <si>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</si>
  <si>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</si>
  <si>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</si>
  <si>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</si>
  <si>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</si>
  <si>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</si>
  <si>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</si>
  <si>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</si>
  <si>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</si>
  <si>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</si>
  <si>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</si>
  <si>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</si>
  <si>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</si>
  <si>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</si>
  <si>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</si>
  <si>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</si>
  <si>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</si>
  <si>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</si>
  <si>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</si>
  <si>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</si>
  <si>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</si>
  <si>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</si>
  <si>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</si>
  <si>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</si>
  <si>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</si>
  <si>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</si>
  <si>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</si>
  <si>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</si>
  <si>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</si>
  <si>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</si>
  <si>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</si>
  <si>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</si>
  <si>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</si>
  <si>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</si>
  <si>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</si>
  <si>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</si>
  <si>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</si>
  <si>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</si>
  <si>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</si>
  <si>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</si>
  <si>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</si>
  <si>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</si>
  <si>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</si>
  <si>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</si>
  <si>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</si>
  <si>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</si>
  <si>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</si>
  <si>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</si>
  <si>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</si>
  <si>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</si>
  <si>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</si>
  <si>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</si>
  <si>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</si>
  <si>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</si>
  <si>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</si>
  <si>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</si>
  <si>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</si>
  <si>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</si>
  <si>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</si>
  <si>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</si>
  <si>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</si>
  <si>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</si>
  <si>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</si>
  <si>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</si>
  <si>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</si>
  <si>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</si>
  <si>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</si>
  <si>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</si>
  <si>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</si>
  <si>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</si>
  <si>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</si>
  <si>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</si>
  <si>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</si>
  <si>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</si>
  <si>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</si>
  <si>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</si>
  <si>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</si>
  <si>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</si>
  <si>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</si>
  <si>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</si>
  <si>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</si>
  <si>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</si>
  <si>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</si>
  <si>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</si>
  <si>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</si>
  <si>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</si>
  <si>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</si>
  <si>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</si>
  <si>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</si>
  <si>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</si>
  <si>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</si>
  <si>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</si>
  <si>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</si>
  <si>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</si>
  <si>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</si>
  <si>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</si>
  <si>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</si>
  <si>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</si>
  <si>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</si>
  <si>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</si>
  <si>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</si>
  <si>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</si>
  <si>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</si>
  <si>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</si>
  <si>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</si>
  <si>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</si>
  <si>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</si>
  <si>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</si>
  <si>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</si>
  <si>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</si>
  <si>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</si>
  <si>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</si>
  <si>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</si>
  <si>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</si>
  <si>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</si>
  <si>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</si>
  <si>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</si>
  <si>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</si>
  <si>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</si>
  <si>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</si>
  <si>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</si>
  <si>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</si>
  <si>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</si>
  <si>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</si>
  <si>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</si>
  <si>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</si>
  <si>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</si>
  <si>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</si>
  <si>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</si>
  <si>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</si>
  <si>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</si>
  <si>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</si>
  <si>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</si>
  <si>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</si>
  <si>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</si>
  <si>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</si>
  <si>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</si>
  <si>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</si>
  <si>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</si>
  <si>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</si>
  <si>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</si>
  <si>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</si>
  <si>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</si>
  <si>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</si>
  <si>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</si>
  <si>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</si>
  <si>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</si>
  <si>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</si>
  <si>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</si>
  <si>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</si>
  <si>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</si>
  <si>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</si>
  <si>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</si>
  <si>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</si>
  <si>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</si>
  <si>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</si>
  <si>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</si>
  <si>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</si>
  <si>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</si>
  <si>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</si>
  <si>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</si>
  <si>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</si>
  <si>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</si>
  <si>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</si>
  <si>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</si>
  <si>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</si>
  <si>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</si>
  <si>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</si>
  <si>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</si>
  <si>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</si>
  <si>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</si>
  <si>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</si>
  <si>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</si>
  <si>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</si>
  <si>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</si>
  <si>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</si>
  <si>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</si>
  <si>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</si>
  <si>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</si>
  <si>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</si>
  <si>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</si>
  <si>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</si>
  <si>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</si>
  <si>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</si>
  <si>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</si>
  <si>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</si>
  <si>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</si>
  <si>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</si>
  <si>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</si>
  <si>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</si>
  <si>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</si>
  <si>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</si>
  <si>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</si>
  <si>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</si>
  <si>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</si>
  <si>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</si>
  <si>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</si>
  <si>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</si>
  <si>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</si>
  <si>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</si>
  <si>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</si>
  <si>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</si>
  <si>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</si>
  <si>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</si>
  <si>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</si>
  <si>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</si>
  <si>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</si>
  <si>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</si>
  <si>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</si>
  <si>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</si>
  <si>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</si>
  <si>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</si>
  <si>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</si>
  <si>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</si>
  <si>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</si>
  <si>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</si>
  <si>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</si>
  <si>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</si>
  <si>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</si>
  <si>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</si>
  <si>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</si>
  <si>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</si>
  <si>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</si>
  <si>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</si>
  <si>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</si>
  <si>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</si>
  <si>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</si>
  <si>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</si>
  <si>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</si>
  <si>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</si>
  <si>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</si>
  <si>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</si>
  <si>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</si>
  <si>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</si>
  <si>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</si>
  <si>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</si>
  <si>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</si>
  <si>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</si>
  <si>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</si>
  <si>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</si>
  <si>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</si>
  <si>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</si>
  <si>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</si>
  <si>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</si>
  <si>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</si>
  <si>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</si>
  <si>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</si>
  <si>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</si>
  <si>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</si>
  <si>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</si>
  <si>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</si>
  <si>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</si>
  <si>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</si>
  <si>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</si>
  <si>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</si>
  <si>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</si>
  <si>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</si>
  <si>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</si>
  <si>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</si>
  <si>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</si>
  <si>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</si>
  <si>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</si>
  <si>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</si>
  <si>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</si>
  <si>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</si>
  <si>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</si>
  <si>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</si>
  <si>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</si>
  <si>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</si>
  <si>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</si>
  <si>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</si>
  <si>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</si>
  <si>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</si>
  <si>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</si>
  <si>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</si>
  <si>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</si>
  <si>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</si>
  <si>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</si>
  <si>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</si>
  <si>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</si>
  <si>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</si>
  <si>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</si>
  <si>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</si>
  <si>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</si>
  <si>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</si>
  <si>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</si>
  <si>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</si>
  <si>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</si>
  <si>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</si>
  <si>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</si>
  <si>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</si>
  <si>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</si>
  <si>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</si>
  <si>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</si>
  <si>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</si>
  <si>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</si>
  <si>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</si>
  <si>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</si>
  <si>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</si>
  <si>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</si>
  <si>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</si>
  <si>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</si>
  <si>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</si>
  <si>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</si>
  <si>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</si>
  <si>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</si>
  <si>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</si>
  <si>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</si>
  <si>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</si>
  <si>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</si>
  <si>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</si>
  <si>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</si>
  <si>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</si>
  <si>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</si>
  <si>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</si>
  <si>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</si>
  <si>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</si>
  <si>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</si>
  <si>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</si>
  <si>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</si>
  <si>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</si>
  <si>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</si>
  <si>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</si>
  <si>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</si>
  <si>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</si>
  <si>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</si>
  <si>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</si>
  <si>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</si>
  <si>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</si>
  <si>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</si>
  <si>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</si>
  <si>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</si>
  <si>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</si>
  <si>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</si>
  <si>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</si>
  <si>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</si>
  <si>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</si>
  <si>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</si>
  <si>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</si>
  <si>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</si>
  <si>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</si>
  <si>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</si>
  <si>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</si>
  <si>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</si>
  <si>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</si>
  <si>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</si>
  <si>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</si>
  <si>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</si>
  <si>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</si>
  <si>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</si>
  <si>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</si>
  <si>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</si>
  <si>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</si>
  <si>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</si>
  <si>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</si>
  <si>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</si>
  <si>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</si>
  <si>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</si>
  <si>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</si>
  <si>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</si>
  <si>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</si>
  <si>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</si>
  <si>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</si>
  <si>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</si>
  <si>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</si>
  <si>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</si>
  <si>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</si>
  <si>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</si>
  <si>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</si>
  <si>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</si>
  <si>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</si>
  <si>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</si>
  <si>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</si>
  <si>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</si>
  <si>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</si>
  <si>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</si>
  <si>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</si>
  <si>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</si>
  <si>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</si>
  <si>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</si>
  <si>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</si>
  <si>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</si>
  <si>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</si>
  <si>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</si>
  <si>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</si>
  <si>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</si>
  <si>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</si>
  <si>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</si>
  <si>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</si>
  <si>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</si>
  <si>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</si>
  <si>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</si>
  <si>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</si>
  <si>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</si>
  <si>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</si>
  <si>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</si>
  <si>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</si>
  <si>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</si>
  <si>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</si>
  <si>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</si>
  <si>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</si>
  <si>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</si>
  <si>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</si>
  <si>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</si>
  <si>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</si>
  <si>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</si>
  <si>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</si>
  <si>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</si>
  <si>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</si>
  <si>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</si>
  <si>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</si>
  <si>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</si>
  <si>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</si>
  <si>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</si>
  <si>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</si>
  <si>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</si>
  <si>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</si>
  <si>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</si>
  <si>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</si>
  <si>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</si>
  <si>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</si>
  <si>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</si>
  <si>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</si>
  <si>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</si>
  <si>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</si>
  <si>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</si>
  <si>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</si>
  <si>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</si>
  <si>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</si>
  <si>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</si>
  <si>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</si>
  <si>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</si>
  <si>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</si>
  <si>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</si>
  <si>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</si>
  <si>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</si>
  <si>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</si>
  <si>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</si>
  <si>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</si>
  <si>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</si>
  <si>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</si>
  <si>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</si>
  <si>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</si>
  <si>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</si>
  <si>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</si>
  <si>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</si>
  <si>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</si>
  <si>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</si>
  <si>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</si>
  <si>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</si>
  <si>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</si>
  <si>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</si>
  <si>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</si>
  <si>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</si>
  <si>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</si>
  <si>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</si>
  <si>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</si>
  <si>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</si>
  <si>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</si>
  <si>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</si>
  <si>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</si>
  <si>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</si>
  <si>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</si>
  <si>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</si>
  <si>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</si>
  <si>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</si>
  <si>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</si>
  <si>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</si>
  <si>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</si>
  <si>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</si>
  <si>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</si>
  <si>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</si>
  <si>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</si>
  <si>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</si>
  <si>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</si>
  <si>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</si>
  <si>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</si>
  <si>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</si>
  <si>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</si>
  <si>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</si>
  <si>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</si>
  <si>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</si>
  <si>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</si>
  <si>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</si>
  <si>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</si>
  <si>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</si>
  <si>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</si>
  <si>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</si>
  <si>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</si>
  <si>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</si>
  <si>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</si>
  <si>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</si>
  <si>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</si>
  <si>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</si>
  <si>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</si>
  <si>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</si>
  <si>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</si>
  <si>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</si>
  <si>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</si>
  <si>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</si>
  <si>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</si>
  <si>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</si>
  <si>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</si>
  <si>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</si>
  <si>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</si>
  <si>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</si>
  <si>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</si>
  <si>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</si>
  <si>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</si>
  <si>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</si>
  <si>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</si>
  <si>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</si>
  <si>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</si>
  <si>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</si>
  <si>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</si>
  <si>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</si>
  <si>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</si>
  <si>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</si>
  <si>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</si>
  <si>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</si>
  <si>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</si>
  <si>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</si>
  <si>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</si>
  <si>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</si>
  <si>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</si>
  <si>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</si>
  <si>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</si>
  <si>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</si>
  <si>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</si>
  <si>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</si>
  <si>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</si>
  <si>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</si>
  <si>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</si>
  <si>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</si>
  <si>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</si>
  <si>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</si>
  <si>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</si>
  <si>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</si>
  <si>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</si>
  <si>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</si>
  <si>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</si>
  <si>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</si>
  <si>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</si>
  <si>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</si>
  <si>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</si>
  <si>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</si>
  <si>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</si>
  <si>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</si>
  <si>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</si>
  <si>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</si>
  <si>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</si>
  <si>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</si>
  <si>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</si>
  <si>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</si>
  <si>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</si>
  <si>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</si>
  <si>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</si>
  <si>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</si>
  <si>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</si>
  <si>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</si>
  <si>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</si>
  <si>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</si>
  <si>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</si>
  <si>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</si>
  <si>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</si>
  <si>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</si>
  <si>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</si>
  <si>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</si>
  <si>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</si>
  <si>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</si>
  <si>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</si>
  <si>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</si>
  <si>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</si>
  <si>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</si>
  <si>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</si>
  <si>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</si>
  <si>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</si>
  <si>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</si>
  <si>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</si>
  <si>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</si>
  <si>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</si>
  <si>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</si>
  <si>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</si>
  <si>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</si>
  <si>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</si>
  <si>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</si>
  <si>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</si>
  <si>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</si>
  <si>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</si>
  <si>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</si>
  <si>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</si>
  <si>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</si>
  <si>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</si>
  <si>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</si>
  <si>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</si>
  <si>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</si>
  <si>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</si>
  <si>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</si>
  <si>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</si>
  <si>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</si>
  <si>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</si>
  <si>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</si>
  <si>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</si>
  <si>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</si>
  <si>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</si>
  <si>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</si>
  <si>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</si>
  <si>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</si>
  <si>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</si>
  <si>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</si>
  <si>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</si>
  <si>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</si>
  <si>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</si>
  <si>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</si>
  <si>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</si>
  <si>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</si>
  <si>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</si>
  <si>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</si>
  <si>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</si>
  <si>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</si>
  <si>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</si>
  <si>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</si>
  <si>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</si>
  <si>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</si>
  <si>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</si>
  <si>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</si>
  <si>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</si>
  <si>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</si>
  <si>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</si>
  <si>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</si>
  <si>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</si>
  <si>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</si>
  <si>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</si>
  <si>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</si>
  <si>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</si>
  <si>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</si>
  <si>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</si>
  <si>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</si>
  <si>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</si>
  <si>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</si>
  <si>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</si>
  <si>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</si>
  <si>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</si>
  <si>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</si>
  <si>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</si>
  <si>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</si>
  <si>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</si>
  <si>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</si>
  <si>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</si>
  <si>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</si>
  <si>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</si>
  <si>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</si>
  <si>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</si>
  <si>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</si>
  <si>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</si>
  <si>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</si>
  <si>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</si>
  <si>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</si>
  <si>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</si>
  <si>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</si>
  <si>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</si>
  <si>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</si>
  <si>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</si>
  <si>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</si>
  <si>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</si>
  <si>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</si>
  <si>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</si>
  <si>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</si>
  <si>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</si>
  <si>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</si>
  <si>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</si>
  <si>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</si>
  <si>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</si>
  <si>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</si>
  <si>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</si>
  <si>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</si>
  <si>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</si>
  <si>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</si>
  <si>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</si>
  <si>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</si>
  <si>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</si>
  <si>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</si>
  <si>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</si>
  <si>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</si>
  <si>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</si>
  <si>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</si>
  <si>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</si>
  <si>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</si>
  <si>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</si>
  <si>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</si>
  <si>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</si>
  <si>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</si>
  <si>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</si>
  <si>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</si>
  <si>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</si>
  <si>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</si>
  <si>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</si>
  <si>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</si>
  <si>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</si>
  <si>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</si>
  <si>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</si>
  <si>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</si>
  <si>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</si>
  <si>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</si>
  <si>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</si>
  <si>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</si>
  <si>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</si>
  <si>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</si>
  <si>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</si>
  <si>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</si>
  <si>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</si>
  <si>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</si>
  <si>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</si>
  <si>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</si>
  <si>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</si>
  <si>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</si>
  <si>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</si>
  <si>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</si>
  <si>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</si>
  <si>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</si>
  <si>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</si>
  <si>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</si>
  <si>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</si>
  <si>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</si>
  <si>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</si>
  <si>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</si>
  <si>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</si>
  <si>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</si>
  <si>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</si>
  <si>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</si>
  <si>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</si>
  <si>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</si>
  <si>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</si>
  <si>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</si>
  <si>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</si>
  <si>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</si>
  <si>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</si>
  <si>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</si>
  <si>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</si>
  <si>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</si>
  <si>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</si>
  <si>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</si>
  <si>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</si>
  <si>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</si>
  <si>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</si>
  <si>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</si>
  <si>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</si>
  <si>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</si>
  <si>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</si>
  <si>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</si>
  <si>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</si>
  <si>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</si>
  <si>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</si>
  <si>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</si>
  <si>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</si>
  <si>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</si>
  <si>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</si>
  <si>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</si>
  <si>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</si>
  <si>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</si>
  <si>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</si>
  <si>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</si>
  <si>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</si>
  <si>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</si>
  <si>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</si>
  <si>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</si>
  <si>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</si>
  <si>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</si>
  <si>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</si>
  <si>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</si>
  <si>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</si>
  <si>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</si>
  <si>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</si>
  <si>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</si>
  <si>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</si>
  <si>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</si>
  <si>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</si>
  <si>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</si>
  <si>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</si>
  <si>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</si>
  <si>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</si>
  <si>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</si>
  <si>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</si>
  <si>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</si>
  <si>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</si>
  <si>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</si>
  <si>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</si>
  <si>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</si>
  <si>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</si>
  <si>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</si>
  <si>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</si>
  <si>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</si>
  <si>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</si>
  <si>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</si>
  <si>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</si>
  <si>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</si>
  <si>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</si>
  <si>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</si>
  <si>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</si>
  <si>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</si>
  <si>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</si>
  <si>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</si>
  <si>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</si>
  <si>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</si>
  <si>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</si>
  <si>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</si>
  <si>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</si>
  <si>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</si>
  <si>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</si>
  <si>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</si>
  <si>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</si>
  <si>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</si>
  <si>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</si>
  <si>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</si>
  <si>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</si>
  <si>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</si>
  <si>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</si>
  <si>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</si>
  <si>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</si>
  <si>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</si>
  <si>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</si>
  <si>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</si>
  <si>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</si>
  <si>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</si>
  <si>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</si>
  <si>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</si>
  <si>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</si>
  <si>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</si>
  <si>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</si>
  <si>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</si>
  <si>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</si>
  <si>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</si>
  <si>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</si>
  <si>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</si>
  <si>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</si>
  <si>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</si>
  <si>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</si>
  <si>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</si>
  <si>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</si>
  <si>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</si>
  <si>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</si>
  <si>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</si>
  <si>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</si>
  <si>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</si>
  <si>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</si>
  <si>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</si>
  <si>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</si>
  <si>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</si>
  <si>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</si>
  <si>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</si>
  <si>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</si>
  <si>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</si>
  <si>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</si>
  <si>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</si>
  <si>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</si>
  <si>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</si>
  <si>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</si>
  <si>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</si>
  <si>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</si>
  <si>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</si>
  <si>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</si>
  <si>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</si>
  <si>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</si>
  <si>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</si>
  <si>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</si>
  <si>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</si>
  <si>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</si>
  <si>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</si>
  <si>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</si>
  <si>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</si>
  <si>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</si>
  <si>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</si>
  <si>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</si>
  <si>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</si>
  <si>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</si>
  <si>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</si>
  <si>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</si>
  <si>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</si>
  <si>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</si>
  <si>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</si>
  <si>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</si>
  <si>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</si>
  <si>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</si>
  <si>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</si>
  <si>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</si>
  <si>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</si>
  <si>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</si>
  <si>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</si>
  <si>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</si>
  <si>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</si>
  <si>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</si>
  <si>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</si>
  <si>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</si>
  <si>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</si>
  <si>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</si>
  <si>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</si>
  <si>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</si>
  <si>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</si>
  <si>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</si>
  <si>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</si>
  <si>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</si>
  <si>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</si>
  <si>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</si>
  <si>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</si>
  <si>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</si>
  <si>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</si>
  <si>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</si>
  <si>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</si>
  <si>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</si>
  <si>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</si>
  <si>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</si>
  <si>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</si>
  <si>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</si>
  <si>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</si>
  <si>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</si>
  <si>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</si>
  <si>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</si>
  <si>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</si>
  <si>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</si>
  <si>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</si>
  <si>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</si>
  <si>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</si>
  <si>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</si>
  <si>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</si>
  <si>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</si>
  <si>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</si>
  <si>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</si>
  <si>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</si>
  <si>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</si>
  <si>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</si>
  <si>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</si>
  <si>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</si>
  <si>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</si>
  <si>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</si>
  <si>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</si>
  <si>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</si>
  <si>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</si>
  <si>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</si>
  <si>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</si>
  <si>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</si>
  <si>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</si>
  <si>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</si>
  <si>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</si>
  <si>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</si>
  <si>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</si>
  <si>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</si>
  <si>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</si>
  <si>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</si>
  <si>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</si>
  <si>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</si>
  <si>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</si>
  <si>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</si>
  <si>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</si>
  <si>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</si>
  <si>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</si>
  <si>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</si>
  <si>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</si>
  <si>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</si>
  <si>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</si>
  <si>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</si>
  <si>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</si>
  <si>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</si>
  <si>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</si>
  <si>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</si>
  <si>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</si>
  <si>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</si>
  <si>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</si>
  <si>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</si>
  <si>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</si>
  <si>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</si>
  <si>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</si>
  <si>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</si>
  <si>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</si>
  <si>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</si>
  <si>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</si>
  <si>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</si>
  <si>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</si>
  <si>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</si>
  <si>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</si>
  <si>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</si>
  <si>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</si>
  <si>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</si>
  <si>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</si>
  <si>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</si>
  <si>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</si>
  <si>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</si>
  <si>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</si>
  <si>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</si>
  <si>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</si>
  <si>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</si>
  <si>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</si>
  <si>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</si>
  <si>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</si>
  <si>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</si>
  <si>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</si>
  <si>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</si>
  <si>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</si>
  <si>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</si>
  <si>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</si>
  <si>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</si>
  <si>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</si>
  <si>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</si>
  <si>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</si>
  <si>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</si>
  <si>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</si>
  <si>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</si>
  <si>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</si>
  <si>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</si>
  <si>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</si>
  <si>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</si>
  <si>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</si>
  <si>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</si>
  <si>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</si>
  <si>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</si>
  <si>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</si>
  <si>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</si>
  <si>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</si>
  <si>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</si>
  <si>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</si>
  <si>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</si>
  <si>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</si>
  <si>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</si>
  <si>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</si>
  <si>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</si>
  <si>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</si>
  <si>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</si>
  <si>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</si>
  <si>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</si>
  <si>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</si>
  <si>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</si>
  <si>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</si>
  <si>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</si>
  <si>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</si>
  <si>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</si>
  <si>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</si>
  <si>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</si>
  <si>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</si>
  <si>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</si>
  <si>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</si>
  <si>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</si>
  <si>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</si>
  <si>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</si>
  <si>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</si>
  <si>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</si>
  <si>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</si>
  <si>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</si>
  <si>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</si>
  <si>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</si>
  <si>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</si>
  <si>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</si>
  <si>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</si>
  <si>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</si>
  <si>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</si>
  <si>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</si>
  <si>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</si>
  <si>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</si>
  <si>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</si>
  <si>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</si>
  <si>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</si>
  <si>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</si>
  <si>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</si>
  <si>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</si>
  <si>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</si>
  <si>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</si>
  <si>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</si>
  <si>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</si>
  <si>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</si>
  <si>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</si>
  <si>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</si>
  <si>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</si>
  <si>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</si>
  <si>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</si>
  <si>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</si>
  <si>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</si>
  <si>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</si>
  <si>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</si>
  <si>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</si>
  <si>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</si>
  <si>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</si>
  <si>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</si>
  <si>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</si>
  <si>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</si>
  <si>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</si>
  <si>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</si>
  <si>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</si>
  <si>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</si>
  <si>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</si>
  <si>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</si>
  <si>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</si>
  <si>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</si>
  <si>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</si>
  <si>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</si>
  <si>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</si>
  <si>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</si>
  <si>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</si>
  <si>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</si>
  <si>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</si>
  <si>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</si>
  <si>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</si>
  <si>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</si>
  <si>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</si>
  <si>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</si>
  <si>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</si>
  <si>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</si>
  <si>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</si>
  <si>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</si>
  <si>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</si>
  <si>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</si>
  <si>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</si>
  <si>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</si>
  <si>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</si>
  <si>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</si>
  <si>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</si>
  <si>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</si>
  <si>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</si>
  <si>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</si>
  <si>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</si>
  <si>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</si>
  <si>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</si>
  <si>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</si>
  <si>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</si>
  <si>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</si>
  <si>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</si>
  <si>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</si>
  <si>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</si>
  <si>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</si>
  <si>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</si>
  <si>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</si>
  <si>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</si>
  <si>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</si>
  <si>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</si>
  <si>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</si>
  <si>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</si>
  <si>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</si>
  <si>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</si>
  <si>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</si>
  <si>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</si>
  <si>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</si>
  <si>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</si>
  <si>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</si>
  <si>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</si>
  <si>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</si>
  <si>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</si>
  <si>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</si>
  <si>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</si>
  <si>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</si>
  <si>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</si>
  <si>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</si>
  <si>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</si>
  <si>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</si>
  <si>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</si>
  <si>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</si>
  <si>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</si>
  <si>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</si>
  <si>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</si>
  <si>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</si>
  <si>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</si>
  <si>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</si>
  <si>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</si>
  <si>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</si>
  <si>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</si>
  <si>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</si>
  <si>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</si>
  <si>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</si>
  <si>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</si>
  <si>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</si>
  <si>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</si>
  <si>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</si>
  <si>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</si>
  <si>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</si>
  <si>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</si>
  <si>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</si>
  <si>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</si>
  <si>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</si>
  <si>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</si>
  <si>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</si>
  <si>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</si>
  <si>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</si>
  <si>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</si>
  <si>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</si>
  <si>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</si>
  <si>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</si>
  <si>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</si>
  <si>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</si>
  <si>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</si>
  <si>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</si>
  <si>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</si>
  <si>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</si>
  <si>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</si>
  <si>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</si>
  <si>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</si>
  <si>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</si>
  <si>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</si>
  <si>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</si>
  <si>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</si>
  <si>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</si>
  <si>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</si>
  <si>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</si>
  <si>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</si>
  <si>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</si>
  <si>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</si>
  <si>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</si>
  <si>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</si>
  <si>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</si>
  <si>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</si>
  <si>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</si>
  <si>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</si>
  <si>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</si>
  <si>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</si>
  <si>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</si>
  <si>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</si>
  <si>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</si>
  <si>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</si>
  <si>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</si>
  <si>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</si>
  <si>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</si>
  <si>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</si>
  <si>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</si>
  <si>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</si>
  <si>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</si>
  <si>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</si>
  <si>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</si>
  <si>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</si>
  <si>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</si>
  <si>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</si>
  <si>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</si>
  <si>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</si>
  <si>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</si>
  <si>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</si>
  <si>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</si>
  <si>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</si>
  <si>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</si>
  <si>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</si>
  <si>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</si>
  <si>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</si>
  <si>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</si>
  <si>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</si>
  <si>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</si>
  <si>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</si>
  <si>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</si>
  <si>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</si>
  <si>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</si>
  <si>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</si>
  <si>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</si>
  <si>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</si>
  <si>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</si>
  <si>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</si>
  <si>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</si>
  <si>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</si>
  <si>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</si>
  <si>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</si>
  <si>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</si>
  <si>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</si>
  <si>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</si>
  <si>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</si>
  <si>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</si>
  <si>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</si>
  <si>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</si>
  <si>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</si>
  <si>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</si>
  <si>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</si>
  <si>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</si>
  <si>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</si>
  <si>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</si>
  <si>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</si>
  <si>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</si>
  <si>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</si>
  <si>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</si>
  <si>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</si>
  <si>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</si>
  <si>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</si>
  <si>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</si>
  <si>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</si>
  <si>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</si>
  <si>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</si>
  <si>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</si>
  <si>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</si>
  <si>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</si>
  <si>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</si>
  <si>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</si>
  <si>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</si>
  <si>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</si>
  <si>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</si>
  <si>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</si>
  <si>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</si>
  <si>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</si>
  <si>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</si>
  <si>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</si>
  <si>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</si>
  <si>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</si>
  <si>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</si>
  <si>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</si>
  <si>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</si>
  <si>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</si>
  <si>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</si>
  <si>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</si>
  <si>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</si>
  <si>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</si>
  <si>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</si>
  <si>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</si>
  <si>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</si>
  <si>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</si>
  <si>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</si>
  <si>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</si>
  <si>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</si>
  <si>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</si>
  <si>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</si>
  <si>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</si>
  <si>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</si>
  <si>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</si>
  <si>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</si>
  <si>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</si>
  <si>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</si>
  <si>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</si>
  <si>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</si>
  <si>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</si>
  <si>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</si>
  <si>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</si>
  <si>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</si>
  <si>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</si>
  <si>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</si>
  <si>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</si>
  <si>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</si>
  <si>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</si>
  <si>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</si>
  <si>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</si>
  <si>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</si>
  <si>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</si>
  <si>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</si>
  <si>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</si>
  <si>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</si>
  <si>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</si>
  <si>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</si>
  <si>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</si>
  <si>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</si>
  <si>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</si>
  <si>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</si>
  <si>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</si>
  <si>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</si>
  <si>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</si>
  <si>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</si>
  <si>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</si>
  <si>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</si>
  <si>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</si>
  <si>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</si>
  <si>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</si>
  <si>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</si>
  <si>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</si>
  <si>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</si>
  <si>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</si>
  <si>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</si>
  <si>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</si>
  <si>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</si>
  <si>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</si>
  <si>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</si>
  <si>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</si>
  <si>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</si>
  <si>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</si>
  <si>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</si>
  <si>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</si>
  <si>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</si>
  <si>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</si>
  <si>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</si>
  <si>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</si>
  <si>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</si>
  <si>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</si>
  <si>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</si>
  <si>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</si>
  <si>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</si>
  <si>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</si>
  <si>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</si>
  <si>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</si>
  <si>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</si>
  <si>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</si>
  <si>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</si>
  <si>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</si>
  <si>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</si>
  <si>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</si>
  <si>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</si>
  <si>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</si>
  <si>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</si>
  <si>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</si>
  <si>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</si>
  <si>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</si>
  <si>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</si>
  <si>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</si>
  <si>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</si>
  <si>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</si>
  <si>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</si>
  <si>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</si>
  <si>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</si>
  <si>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</si>
  <si>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</si>
  <si>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</si>
  <si>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</si>
  <si>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</si>
  <si>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</si>
  <si>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</si>
  <si>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</si>
  <si>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</si>
  <si>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</si>
  <si>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</si>
  <si>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</si>
  <si>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</si>
  <si>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</si>
  <si>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</si>
  <si>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</si>
  <si>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</si>
  <si>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</si>
  <si>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</si>
  <si>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</si>
  <si>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</si>
  <si>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</si>
  <si>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</si>
  <si>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</si>
  <si>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</si>
  <si>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</si>
  <si>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</si>
  <si>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</si>
  <si>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</si>
  <si>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</si>
  <si>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</si>
  <si>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</si>
  <si>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</si>
  <si>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</si>
  <si>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</si>
  <si>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</si>
  <si>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</si>
  <si>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</si>
  <si>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</si>
  <si>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</si>
  <si>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</si>
  <si>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</si>
  <si>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</si>
  <si>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</si>
  <si>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</si>
  <si>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</si>
  <si>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</si>
  <si>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</si>
  <si>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</si>
  <si>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</si>
  <si>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</si>
  <si>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</si>
  <si>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</si>
  <si>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</si>
  <si>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</si>
  <si>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</si>
  <si>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</si>
  <si>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</si>
  <si>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</si>
  <si>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</si>
  <si>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</si>
  <si>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</si>
  <si>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</si>
  <si>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</si>
  <si>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</si>
  <si>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</si>
  <si>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</si>
  <si>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</si>
  <si>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</si>
  <si>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</si>
  <si>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</si>
  <si>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</si>
  <si>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</si>
  <si>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</si>
  <si>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</si>
  <si>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</si>
  <si>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</si>
  <si>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</si>
  <si>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</si>
  <si>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</si>
  <si>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</si>
  <si>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</si>
  <si>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</si>
  <si>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</si>
  <si>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</si>
  <si>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</si>
  <si>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</si>
  <si>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</si>
  <si>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</si>
  <si>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</si>
  <si>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</si>
  <si>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</si>
  <si>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</si>
  <si>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</si>
  <si>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</si>
  <si>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</si>
  <si>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</si>
  <si>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</si>
  <si>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</si>
  <si>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</si>
  <si>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</si>
  <si>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</si>
  <si>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</si>
  <si>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</si>
  <si>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</si>
  <si>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</si>
  <si>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</si>
  <si>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</si>
  <si>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</si>
  <si>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</si>
  <si>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</si>
  <si>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</si>
  <si>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</si>
  <si>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</si>
  <si>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</si>
  <si>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</si>
  <si>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</si>
  <si>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</si>
  <si>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</si>
  <si>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</si>
  <si>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</si>
  <si>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</si>
  <si>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</si>
  <si>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</si>
  <si>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</si>
  <si>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</si>
  <si>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</si>
  <si>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</si>
  <si>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</si>
  <si>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</si>
  <si>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</si>
  <si>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</si>
  <si>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</si>
  <si>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</si>
  <si>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</si>
  <si>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</si>
  <si>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</si>
  <si>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</si>
  <si>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</si>
  <si>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</si>
  <si>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</si>
  <si>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</si>
  <si>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</si>
  <si>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</si>
  <si>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</si>
  <si>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</si>
  <si>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</si>
  <si>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</si>
  <si>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</si>
  <si>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</si>
  <si>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</si>
  <si>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</si>
  <si>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</si>
  <si>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</si>
  <si>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</si>
  <si>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</si>
  <si>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</si>
  <si>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</si>
  <si>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</si>
  <si>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</si>
  <si>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</si>
  <si>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</si>
  <si>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</si>
  <si>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</si>
  <si>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</si>
  <si>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</si>
  <si>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</si>
  <si>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</si>
  <si>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</si>
  <si>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</si>
  <si>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</si>
  <si>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</si>
  <si>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</si>
  <si>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</si>
  <si>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</si>
  <si>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</si>
  <si>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</si>
  <si>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</si>
  <si>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</si>
  <si>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</si>
  <si>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</si>
  <si>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</si>
  <si>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</si>
  <si>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</si>
  <si>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</si>
  <si>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</si>
  <si>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</si>
  <si>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</si>
  <si>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</si>
  <si>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</si>
  <si>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</si>
  <si>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</si>
  <si>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</si>
  <si>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</si>
  <si>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</si>
  <si>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</si>
  <si>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</si>
  <si>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</si>
  <si>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</si>
  <si>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</si>
  <si>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</si>
  <si>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</si>
  <si>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</si>
  <si>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</si>
  <si>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</si>
  <si>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</si>
  <si>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</si>
  <si>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</si>
  <si>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</si>
  <si>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</si>
  <si>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</si>
  <si>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</si>
  <si>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</si>
  <si>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</si>
  <si>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</si>
  <si>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</si>
  <si>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</si>
  <si>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</si>
  <si>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</si>
  <si>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</si>
  <si>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</si>
  <si>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</si>
  <si>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</si>
  <si>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</si>
  <si>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</si>
  <si>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</si>
  <si>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</si>
  <si>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</si>
  <si>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</si>
  <si>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</si>
  <si>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</si>
  <si>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</si>
  <si>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</si>
  <si>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</si>
  <si>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</si>
  <si>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</si>
  <si>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</si>
  <si>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</si>
  <si>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</si>
  <si>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</si>
  <si>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</si>
  <si>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</si>
  <si>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</si>
  <si>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</si>
  <si>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</si>
  <si>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</si>
  <si>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</si>
  <si>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</si>
  <si>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</si>
  <si>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</si>
  <si>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</si>
  <si>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</si>
  <si>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</si>
  <si>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</si>
  <si>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</si>
  <si>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</si>
  <si>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</si>
  <si>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</si>
  <si>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</si>
  <si>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</si>
  <si>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</si>
  <si>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</si>
  <si>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</si>
  <si>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</si>
  <si>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</si>
  <si>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</si>
  <si>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</si>
  <si>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</si>
  <si>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</si>
  <si>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</si>
  <si>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</si>
  <si>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</si>
  <si>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</si>
  <si>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</si>
  <si>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</si>
  <si>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</si>
  <si>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</si>
  <si>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</si>
  <si>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</si>
  <si>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</si>
  <si>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</si>
  <si>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</si>
  <si>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</si>
  <si>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</si>
  <si>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</si>
  <si>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</si>
  <si>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</si>
  <si>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</si>
  <si>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</si>
  <si>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</si>
  <si>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</si>
  <si>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</si>
  <si>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</si>
  <si>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</si>
  <si>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</si>
  <si>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</si>
  <si>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</si>
  <si>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</si>
  <si>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</si>
  <si>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</si>
  <si>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</si>
  <si>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</si>
  <si>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</si>
  <si>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</si>
  <si>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</si>
  <si>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</si>
  <si>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</si>
  <si>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</si>
  <si>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</si>
  <si>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</si>
  <si>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</si>
  <si>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</si>
  <si>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</si>
  <si>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</si>
  <si>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</si>
  <si>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</si>
  <si>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</si>
  <si>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</si>
  <si>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</si>
  <si>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</si>
  <si>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</si>
  <si>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</si>
  <si>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</si>
  <si>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</si>
  <si>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</si>
  <si>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</si>
  <si>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</si>
  <si>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</si>
  <si>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</si>
  <si>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</si>
  <si>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</si>
  <si>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</si>
  <si>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</si>
  <si>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</si>
  <si>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</si>
  <si>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</si>
  <si>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</si>
  <si>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</si>
  <si>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</si>
  <si>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</si>
  <si>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</si>
  <si>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</si>
  <si>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</si>
  <si>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</si>
  <si>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</si>
  <si>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</si>
  <si>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</si>
  <si>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</si>
  <si>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</si>
  <si>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</si>
  <si>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</si>
  <si>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</si>
  <si>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</si>
  <si>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</si>
  <si>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</si>
  <si>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</si>
  <si>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</si>
  <si>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</si>
  <si>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</si>
  <si>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</si>
  <si>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</si>
  <si>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</si>
  <si>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</si>
  <si>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</si>
  <si>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</si>
  <si>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</si>
  <si>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</si>
  <si>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</si>
  <si>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</si>
  <si>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</si>
  <si>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</si>
  <si>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</si>
  <si>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</si>
  <si>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</si>
  <si>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</si>
  <si>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</si>
  <si>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</si>
  <si>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</si>
  <si>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</si>
  <si>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</si>
  <si>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</si>
  <si>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</si>
  <si>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</si>
  <si>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</si>
  <si>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</si>
  <si>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</si>
  <si>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</si>
  <si>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</si>
  <si>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</si>
  <si>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</si>
  <si>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</si>
  <si>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</si>
  <si>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</si>
  <si>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</si>
  <si>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</si>
  <si>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</si>
  <si>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</si>
  <si>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</si>
  <si>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</si>
  <si>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</si>
  <si>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</si>
  <si>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</si>
  <si>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</si>
  <si>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</si>
  <si>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</si>
  <si>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</si>
  <si>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</si>
  <si>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</si>
  <si>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</si>
  <si>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</si>
  <si>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</si>
  <si>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</si>
  <si>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</si>
  <si>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</si>
  <si>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</si>
  <si>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</si>
  <si>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</si>
  <si>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</si>
  <si>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</si>
  <si>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</si>
  <si>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</si>
  <si>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</si>
  <si>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</si>
  <si>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</si>
  <si>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</si>
  <si>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</si>
  <si>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</si>
  <si>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</si>
  <si>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</si>
  <si>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</si>
  <si>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</si>
  <si>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</si>
  <si>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</si>
  <si>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</si>
  <si>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</si>
  <si>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</si>
  <si>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</si>
  <si>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</si>
  <si>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</si>
  <si>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</si>
  <si>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</si>
  <si>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</si>
  <si>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</si>
  <si>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</si>
  <si>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</si>
  <si>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</si>
  <si>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</si>
  <si>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</si>
  <si>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</si>
  <si>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</si>
  <si>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</si>
  <si>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</si>
  <si>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</si>
  <si>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</si>
  <si>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</si>
  <si>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</si>
  <si>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</si>
  <si>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</si>
  <si>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</si>
  <si>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</si>
  <si>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</si>
  <si>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</si>
  <si>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</si>
  <si>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</si>
  <si>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</si>
  <si>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</si>
  <si>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</si>
  <si>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</si>
  <si>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</si>
  <si>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</si>
  <si>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</si>
  <si>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</si>
  <si>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</si>
  <si>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</si>
  <si>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</si>
  <si>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</si>
  <si>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</si>
  <si>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</si>
  <si>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</si>
  <si>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</si>
  <si>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</si>
  <si>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</si>
  <si>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</si>
  <si>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</si>
  <si>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</si>
  <si>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</si>
  <si>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</si>
  <si>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</si>
  <si>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</si>
  <si>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</si>
  <si>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</si>
  <si>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</si>
  <si>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</si>
  <si>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</si>
  <si>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</si>
  <si>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</si>
  <si>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</si>
  <si>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</si>
  <si>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</si>
  <si>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</si>
  <si>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</si>
  <si>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</si>
  <si>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</si>
  <si>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</si>
  <si>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</si>
  <si>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</si>
  <si>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</si>
  <si>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</si>
  <si>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</si>
  <si>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</si>
  <si>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</si>
  <si>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</si>
  <si>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</si>
  <si>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</si>
  <si>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</si>
  <si>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</si>
  <si>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</si>
  <si>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</si>
  <si>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</si>
  <si>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</si>
  <si>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</si>
  <si>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</si>
  <si>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</si>
  <si>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</si>
  <si>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</si>
  <si>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</si>
  <si>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</si>
  <si>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</si>
  <si>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</si>
  <si>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</si>
  <si>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</si>
  <si>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</si>
  <si>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</si>
  <si>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</si>
  <si>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</si>
  <si>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</si>
  <si>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</si>
  <si>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</si>
  <si>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</si>
  <si>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</si>
  <si>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</si>
  <si>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</si>
  <si>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</si>
  <si>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</si>
  <si>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</si>
  <si>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</si>
  <si>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</si>
  <si>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</si>
  <si>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</si>
  <si>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</si>
  <si>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</si>
  <si>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</si>
  <si>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</si>
  <si>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</si>
  <si>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</si>
  <si>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</si>
  <si>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Kane</t>
  </si>
  <si>
    <t>Route 47 at Waubonsee Dr.</t>
  </si>
  <si>
    <t>Sugar Grove</t>
  </si>
  <si>
    <t>cblickem@waubonsee.edu</t>
  </si>
  <si>
    <t>Michael A. Moyski</t>
  </si>
  <si>
    <t>mmoyski@mmaadvisors.com</t>
  </si>
  <si>
    <t>Kaneland CUSD #302 as Administratvie Agent</t>
  </si>
  <si>
    <t>Kaneland CUSD #302 as Administratvie Agent.</t>
  </si>
  <si>
    <t>None</t>
  </si>
  <si>
    <t>Valley Ed for Employment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</si>
</sst>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5"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vertical="top"/>
      <protection locked="0"/>
    </xf>
    <xf numFmtId="38" fontId="1" fillId="0" borderId="157" xfId="17" applyNumberFormat="1" applyFont="1" applyBorder="1" applyAlignment="1" applyProtection="1">
      <alignment horizontal="righ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66675</xdr:rowOff>
        </xdr:from>
        <xdr:to>
          <xdr:col>1</xdr:col>
          <xdr:colOff>895350</xdr:colOff>
          <xdr:row>4</xdr:row>
          <xdr:rowOff>104775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66675</xdr:rowOff>
        </xdr:from>
        <xdr:to>
          <xdr:col>1</xdr:col>
          <xdr:colOff>1981200</xdr:colOff>
          <xdr:row>4</xdr:row>
          <xdr:rowOff>104775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2152650</xdr:colOff>
          <xdr:row>0</xdr:row>
          <xdr:rowOff>66675</xdr:rowOff>
        </xdr:from>
        <xdr:to>
          <xdr:col>1</xdr:col>
          <xdr:colOff>3067050</xdr:colOff>
          <xdr:row>4</xdr:row>
          <xdr:rowOff>104775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1" t="s">
        <v>425</v>
      </c>
      <c r="J1" s="1992"/>
      <c r="K1" s="1992"/>
      <c r="L1" s="1992"/>
      <c r="M1" s="1992"/>
      <c r="N1" s="1992"/>
      <c r="O1" s="1992"/>
      <c r="P1" s="1992"/>
      <c r="Q1" s="1992"/>
      <c r="R1" s="1992"/>
      <c r="S1" s="1992"/>
    </row>
    <row r="2" spans="1:28" ht="12" customHeight="1" x14ac:dyDescent="0.2">
      <c r="A2" s="47" t="s">
        <v>1684</v>
      </c>
      <c r="D2" s="48"/>
      <c r="I2" s="1993" t="s">
        <v>1036</v>
      </c>
      <c r="J2" s="1992"/>
      <c r="K2" s="1992"/>
      <c r="L2" s="1992"/>
      <c r="M2" s="1992"/>
      <c r="N2" s="1992"/>
      <c r="O2" s="1992"/>
      <c r="P2" s="1992"/>
      <c r="Q2" s="1992"/>
      <c r="R2" s="1992"/>
      <c r="S2" s="1992"/>
    </row>
    <row r="3" spans="1:28" ht="12" customHeight="1" x14ac:dyDescent="0.2">
      <c r="A3" s="155" t="s">
        <v>1685</v>
      </c>
      <c r="B3" s="156"/>
      <c r="C3" s="156"/>
      <c r="D3" s="157"/>
      <c r="I3" s="1993" t="s">
        <v>54</v>
      </c>
      <c r="J3" s="1992"/>
      <c r="K3" s="1992"/>
      <c r="L3" s="1992"/>
      <c r="M3" s="1992"/>
      <c r="N3" s="1992"/>
      <c r="O3" s="1992"/>
      <c r="P3" s="1992"/>
      <c r="Q3" s="1992"/>
      <c r="R3" s="1992"/>
      <c r="S3" s="1992"/>
    </row>
    <row r="4" spans="1:28" ht="12" customHeight="1" x14ac:dyDescent="0.2">
      <c r="A4" s="37"/>
      <c r="I4" s="1993" t="s">
        <v>545</v>
      </c>
      <c r="J4" s="1992"/>
      <c r="K4" s="1992"/>
      <c r="L4" s="1992"/>
      <c r="M4" s="1992"/>
      <c r="N4" s="1992"/>
      <c r="O4" s="1992"/>
      <c r="P4" s="1992"/>
      <c r="Q4" s="1992"/>
      <c r="R4" s="1992"/>
      <c r="S4" s="1992"/>
    </row>
    <row r="5" spans="1:28" ht="14.1" customHeight="1" x14ac:dyDescent="0.2">
      <c r="B5" s="104"/>
      <c r="C5" s="26" t="s">
        <v>966</v>
      </c>
      <c r="D5" s="84"/>
      <c r="E5" s="84"/>
      <c r="H5" s="38"/>
      <c r="I5" s="2001" t="s">
        <v>701</v>
      </c>
      <c r="J5" s="2000"/>
      <c r="K5" s="2000"/>
      <c r="L5" s="2000"/>
      <c r="M5" s="2000"/>
      <c r="N5" s="2000"/>
      <c r="O5" s="2000"/>
      <c r="P5" s="2000"/>
      <c r="Q5" s="2000"/>
      <c r="R5" s="2000"/>
      <c r="S5" s="2000"/>
    </row>
    <row r="6" spans="1:28" ht="14.1" customHeight="1" x14ac:dyDescent="0.2">
      <c r="B6" s="104" t="s">
        <v>2084</v>
      </c>
      <c r="C6" s="26" t="s">
        <v>967</v>
      </c>
      <c r="D6" s="84"/>
      <c r="E6" s="84"/>
      <c r="I6" s="1999" t="s">
        <v>938</v>
      </c>
      <c r="J6" s="2000"/>
      <c r="K6" s="2000"/>
      <c r="L6" s="2000"/>
      <c r="M6" s="2000"/>
      <c r="N6" s="2000"/>
      <c r="O6" s="2000"/>
      <c r="P6" s="2000"/>
      <c r="Q6" s="2000"/>
      <c r="R6" s="2000"/>
      <c r="S6" s="2000"/>
    </row>
    <row r="7" spans="1:28" ht="12.2" customHeight="1" x14ac:dyDescent="0.2">
      <c r="I7" s="1994">
        <v>43281</v>
      </c>
      <c r="J7" s="1995"/>
      <c r="K7" s="1995"/>
      <c r="L7" s="1995"/>
      <c r="M7" s="1995"/>
      <c r="N7" s="1995"/>
      <c r="O7" s="1995"/>
      <c r="P7" s="1995"/>
      <c r="Q7" s="1995"/>
      <c r="R7" s="1995"/>
      <c r="S7" s="199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6" t="s">
        <v>695</v>
      </c>
      <c r="J9" s="1997"/>
      <c r="K9" s="1997"/>
      <c r="L9" s="1997"/>
      <c r="M9" s="1997"/>
      <c r="N9" s="1997"/>
      <c r="O9" s="1997"/>
      <c r="P9" s="1997"/>
      <c r="Q9" s="1997"/>
      <c r="R9" s="1997"/>
      <c r="S9" s="1998"/>
      <c r="T9" s="2012" t="s">
        <v>554</v>
      </c>
      <c r="U9" s="2013"/>
      <c r="V9" s="2013"/>
      <c r="W9" s="2013"/>
      <c r="X9" s="2013"/>
      <c r="Y9" s="2013"/>
      <c r="Z9" s="2013"/>
      <c r="AA9" s="2014"/>
    </row>
    <row r="10" spans="1:28" ht="13.5" customHeight="1" x14ac:dyDescent="0.2">
      <c r="A10" s="2019" t="s">
        <v>696</v>
      </c>
      <c r="B10" s="2020"/>
      <c r="C10" s="2020"/>
      <c r="D10" s="2020"/>
      <c r="E10" s="2020"/>
      <c r="F10" s="2020"/>
      <c r="G10" s="2020"/>
      <c r="H10" s="2021"/>
      <c r="I10" s="29"/>
      <c r="J10" s="30"/>
      <c r="K10" s="28"/>
      <c r="R10" s="30"/>
      <c r="S10" s="30"/>
      <c r="T10" s="2015"/>
      <c r="U10" s="2000"/>
      <c r="V10" s="2000"/>
      <c r="W10" s="2000"/>
      <c r="X10" s="2000"/>
      <c r="Y10" s="2000"/>
      <c r="Z10" s="2000"/>
      <c r="AA10" s="2006"/>
    </row>
    <row r="11" spans="1:28" ht="14.25" customHeight="1" x14ac:dyDescent="0.2">
      <c r="A11" s="2022" t="s">
        <v>1012</v>
      </c>
      <c r="B11" s="2023"/>
      <c r="C11" s="2023"/>
      <c r="D11" s="2023"/>
      <c r="E11" s="2023"/>
      <c r="F11" s="2023"/>
      <c r="G11" s="2023"/>
      <c r="H11" s="2024"/>
      <c r="I11" s="27"/>
      <c r="J11" s="74"/>
      <c r="K11" s="27"/>
      <c r="O11" s="148" t="s">
        <v>2084</v>
      </c>
      <c r="P11" s="100" t="s">
        <v>210</v>
      </c>
      <c r="Q11" s="30"/>
      <c r="R11" s="28"/>
      <c r="S11" s="27"/>
      <c r="T11" s="2016"/>
      <c r="U11" s="2017"/>
      <c r="V11" s="2017"/>
      <c r="W11" s="2017"/>
      <c r="X11" s="2017"/>
      <c r="Y11" s="2017"/>
      <c r="Z11" s="2017"/>
      <c r="AA11" s="201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6">
        <v>31000000046</v>
      </c>
      <c r="B13" s="2027"/>
      <c r="C13" s="2027"/>
      <c r="D13" s="2027"/>
      <c r="E13" s="2027"/>
      <c r="F13" s="2027"/>
      <c r="G13" s="2027"/>
      <c r="H13" s="2028"/>
      <c r="I13" s="31"/>
      <c r="J13" s="30"/>
      <c r="K13" s="28"/>
      <c r="L13" s="30"/>
      <c r="M13" s="30"/>
      <c r="N13" s="30"/>
      <c r="O13" s="30"/>
      <c r="P13" s="30"/>
      <c r="Q13" s="30"/>
      <c r="R13" s="30"/>
      <c r="S13" s="30"/>
      <c r="T13" s="2031" t="s">
        <v>2077</v>
      </c>
      <c r="U13" s="2032"/>
      <c r="V13" s="2032"/>
      <c r="W13" s="2032"/>
      <c r="X13" s="2032"/>
      <c r="Y13" s="2033"/>
      <c r="Z13" s="2033"/>
      <c r="AA13" s="203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5" t="s">
        <v>2085</v>
      </c>
      <c r="B15" s="2029"/>
      <c r="C15" s="2029"/>
      <c r="D15" s="2029"/>
      <c r="E15" s="2029"/>
      <c r="F15" s="2029"/>
      <c r="G15" s="2029"/>
      <c r="H15" s="2030"/>
      <c r="T15" s="2035" t="s">
        <v>2089</v>
      </c>
      <c r="U15" s="1979"/>
      <c r="V15" s="1979"/>
      <c r="W15" s="1979"/>
      <c r="X15" s="1979"/>
      <c r="Y15" s="2036"/>
      <c r="Z15" s="2036"/>
      <c r="AA15" s="203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5" t="s">
        <v>2094</v>
      </c>
      <c r="B17" s="1986"/>
      <c r="C17" s="1986"/>
      <c r="D17" s="1986"/>
      <c r="E17" s="1986"/>
      <c r="F17" s="1986"/>
      <c r="G17" s="1986"/>
      <c r="H17" s="2011"/>
      <c r="T17" s="2042" t="s">
        <v>2078</v>
      </c>
      <c r="U17" s="2043"/>
      <c r="V17" s="2043"/>
      <c r="W17" s="2043"/>
      <c r="X17" s="2043"/>
      <c r="Y17" s="2043"/>
      <c r="Z17" s="2043"/>
      <c r="AA17" s="2044"/>
    </row>
    <row r="18" spans="1:27" ht="13.5" customHeight="1" x14ac:dyDescent="0.2">
      <c r="A18" s="85" t="s">
        <v>551</v>
      </c>
      <c r="B18" s="76"/>
      <c r="C18" s="72"/>
      <c r="D18" s="76"/>
      <c r="E18" s="76"/>
      <c r="F18" s="76"/>
      <c r="G18" s="76"/>
      <c r="H18" s="56"/>
      <c r="I18" s="2010" t="s">
        <v>697</v>
      </c>
      <c r="J18" s="1961"/>
      <c r="K18" s="1961"/>
      <c r="L18" s="1961"/>
      <c r="M18" s="1961"/>
      <c r="N18" s="1961"/>
      <c r="O18" s="1961"/>
      <c r="P18" s="1961"/>
      <c r="Q18" s="1961"/>
      <c r="R18" s="1961"/>
      <c r="S18" s="1962"/>
      <c r="T18" s="85" t="s">
        <v>735</v>
      </c>
      <c r="U18" s="51"/>
      <c r="V18" s="72"/>
      <c r="W18" s="50"/>
      <c r="X18" s="85" t="s">
        <v>284</v>
      </c>
      <c r="Y18" s="81"/>
      <c r="Z18" s="159" t="s">
        <v>698</v>
      </c>
      <c r="AA18" s="46"/>
    </row>
    <row r="19" spans="1:27" ht="13.5" customHeight="1" x14ac:dyDescent="0.2">
      <c r="A19" s="2025" t="s">
        <v>2086</v>
      </c>
      <c r="B19" s="1971"/>
      <c r="C19" s="1971"/>
      <c r="D19" s="1971"/>
      <c r="E19" s="1971"/>
      <c r="F19" s="1971"/>
      <c r="G19" s="1971"/>
      <c r="H19" s="1951"/>
      <c r="I19" s="30"/>
      <c r="J19" s="99"/>
      <c r="K19" s="40"/>
      <c r="L19" s="38"/>
      <c r="M19" s="112" t="s">
        <v>333</v>
      </c>
      <c r="P19" s="27"/>
      <c r="Q19" s="27"/>
      <c r="R19" s="27"/>
      <c r="S19" s="31"/>
      <c r="T19" s="2025" t="s">
        <v>2079</v>
      </c>
      <c r="U19" s="1950"/>
      <c r="V19" s="1950"/>
      <c r="W19" s="1951"/>
      <c r="X19" s="2040" t="s">
        <v>2080</v>
      </c>
      <c r="Y19" s="2041"/>
      <c r="Z19" s="2038">
        <v>60187</v>
      </c>
      <c r="AA19" s="203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49" t="s">
        <v>2087</v>
      </c>
      <c r="B21" s="1950"/>
      <c r="C21" s="1950"/>
      <c r="D21" s="1950"/>
      <c r="E21" s="1950"/>
      <c r="F21" s="1950"/>
      <c r="G21" s="1950"/>
      <c r="H21" s="1951"/>
      <c r="I21" s="2005" t="s">
        <v>699</v>
      </c>
      <c r="J21" s="2000"/>
      <c r="K21" s="2000"/>
      <c r="L21" s="2000"/>
      <c r="M21" s="2000"/>
      <c r="N21" s="2000"/>
      <c r="O21" s="2000"/>
      <c r="P21" s="2000"/>
      <c r="Q21" s="2000"/>
      <c r="R21" s="2000"/>
      <c r="S21" s="2006"/>
      <c r="T21" s="2049" t="s">
        <v>2081</v>
      </c>
      <c r="U21" s="2050"/>
      <c r="V21" s="2050"/>
      <c r="W21" s="2050"/>
      <c r="X21" s="2055" t="s">
        <v>2082</v>
      </c>
      <c r="Y21" s="2056"/>
      <c r="Z21" s="2056"/>
      <c r="AA21" s="2057"/>
    </row>
    <row r="22" spans="1:27" ht="13.5" customHeight="1" x14ac:dyDescent="0.2">
      <c r="A22" s="87" t="s">
        <v>552</v>
      </c>
      <c r="B22" s="59"/>
      <c r="C22" s="59"/>
      <c r="D22" s="59"/>
      <c r="E22" s="59"/>
      <c r="F22" s="59"/>
      <c r="G22" s="59"/>
      <c r="H22" s="60"/>
      <c r="I22" s="2007" t="s">
        <v>1504</v>
      </c>
      <c r="J22" s="2008"/>
      <c r="K22" s="2008"/>
      <c r="L22" s="2008"/>
      <c r="M22" s="2008"/>
      <c r="N22" s="2008"/>
      <c r="O22" s="2008"/>
      <c r="P22" s="2008"/>
      <c r="Q22" s="2008"/>
      <c r="R22" s="2008"/>
      <c r="S22" s="2009"/>
      <c r="T22" s="85" t="s">
        <v>1596</v>
      </c>
      <c r="U22" s="51"/>
      <c r="V22" s="72"/>
      <c r="W22" s="51"/>
      <c r="X22" s="160" t="s">
        <v>1385</v>
      </c>
      <c r="Z22" s="45"/>
      <c r="AA22" s="46"/>
    </row>
    <row r="23" spans="1:27" ht="13.5" customHeight="1" x14ac:dyDescent="0.2">
      <c r="A23" s="2002" t="s">
        <v>2088</v>
      </c>
      <c r="B23" s="2003"/>
      <c r="C23" s="2003"/>
      <c r="D23" s="2003"/>
      <c r="E23" s="2003"/>
      <c r="F23" s="2003"/>
      <c r="G23" s="2003"/>
      <c r="H23" s="2004"/>
      <c r="T23" s="1985">
        <v>66003412</v>
      </c>
      <c r="U23" s="2048"/>
      <c r="V23" s="2048"/>
      <c r="W23" s="2048"/>
      <c r="X23" s="2052">
        <v>43434</v>
      </c>
      <c r="Y23" s="2053"/>
      <c r="Z23" s="2053"/>
      <c r="AA23" s="2054"/>
    </row>
    <row r="24" spans="1:27" ht="14.1" customHeight="1" x14ac:dyDescent="0.2">
      <c r="A24" s="88" t="s">
        <v>698</v>
      </c>
      <c r="B24" s="49"/>
      <c r="C24" s="49"/>
      <c r="D24" s="49"/>
      <c r="E24" s="49"/>
      <c r="F24" s="49"/>
      <c r="G24" s="49"/>
      <c r="H24" s="61"/>
      <c r="J24" s="1972" t="str">
        <f>IF(B5="x",IF(AUDITCHECK!D29="AFR form Incomplete.","",IF(AUDITCHECK!D29="Deficit reduction plan is required.","School District must complete a deficit reduction plan in the 2018-2019 Budget",)),"")</f>
        <v/>
      </c>
      <c r="K24" s="1972"/>
      <c r="L24" s="1972"/>
      <c r="M24" s="1972"/>
      <c r="N24" s="1972"/>
      <c r="O24" s="1972"/>
      <c r="P24" s="1972"/>
      <c r="Q24" s="1972"/>
      <c r="R24" s="1972"/>
      <c r="S24" s="1973"/>
      <c r="T24" s="105" t="s">
        <v>552</v>
      </c>
      <c r="U24" s="106"/>
      <c r="V24" s="106"/>
      <c r="W24" s="106"/>
      <c r="X24" s="107"/>
      <c r="Y24" s="107"/>
      <c r="Z24" s="107"/>
      <c r="AA24" s="108"/>
    </row>
    <row r="25" spans="1:27" ht="14.1" customHeight="1" x14ac:dyDescent="0.2">
      <c r="A25" s="1949">
        <v>60554</v>
      </c>
      <c r="B25" s="1950"/>
      <c r="C25" s="1950"/>
      <c r="D25" s="1950"/>
      <c r="E25" s="1950"/>
      <c r="F25" s="1950"/>
      <c r="G25" s="1950"/>
      <c r="H25" s="1951"/>
      <c r="I25" s="113"/>
      <c r="J25" s="1974"/>
      <c r="K25" s="1974"/>
      <c r="L25" s="1974"/>
      <c r="M25" s="1974"/>
      <c r="N25" s="1974"/>
      <c r="O25" s="1974"/>
      <c r="P25" s="1974"/>
      <c r="Q25" s="1974"/>
      <c r="R25" s="1974"/>
      <c r="S25" s="1975"/>
      <c r="T25" s="2045" t="s">
        <v>2090</v>
      </c>
      <c r="U25" s="2046"/>
      <c r="V25" s="2046"/>
      <c r="W25" s="2046"/>
      <c r="X25" s="2046"/>
      <c r="Y25" s="2046"/>
      <c r="Z25" s="2046"/>
      <c r="AA25" s="20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0" t="s">
        <v>1591</v>
      </c>
      <c r="J27" s="1961"/>
      <c r="K27" s="1961"/>
      <c r="L27" s="1961"/>
      <c r="M27" s="1961"/>
      <c r="N27" s="1961"/>
      <c r="O27" s="1961"/>
      <c r="P27" s="1961"/>
      <c r="Q27" s="1961"/>
      <c r="R27" s="1961"/>
      <c r="S27" s="196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1"/>
      <c r="Q35" s="1950"/>
      <c r="R35" s="19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5"/>
      <c r="B38" s="1986"/>
      <c r="C38" s="1986"/>
      <c r="D38" s="1986"/>
      <c r="E38" s="1986"/>
      <c r="F38" s="1950"/>
      <c r="G38" s="1950"/>
      <c r="H38" s="1951"/>
      <c r="I38" s="1978"/>
      <c r="J38" s="1979"/>
      <c r="K38" s="1979"/>
      <c r="L38" s="1979"/>
      <c r="M38" s="1979"/>
      <c r="N38" s="1979"/>
      <c r="O38" s="1979"/>
      <c r="P38" s="1980"/>
      <c r="Q38" s="1980"/>
      <c r="R38" s="1980"/>
      <c r="S38" s="1981"/>
      <c r="T38" s="2035"/>
      <c r="U38" s="1979"/>
      <c r="V38" s="1979"/>
      <c r="W38" s="1979"/>
      <c r="X38" s="1980"/>
      <c r="Y38" s="1980"/>
      <c r="Z38" s="1980"/>
      <c r="AA38" s="1981"/>
    </row>
    <row r="39" spans="1:27" ht="12" customHeight="1" x14ac:dyDescent="0.2">
      <c r="A39" s="1955" t="s">
        <v>552</v>
      </c>
      <c r="B39" s="1956"/>
      <c r="C39" s="72"/>
      <c r="D39" s="69"/>
      <c r="E39" s="69"/>
      <c r="F39" s="79"/>
      <c r="G39" s="69"/>
      <c r="H39" s="56"/>
      <c r="I39" s="1955" t="s">
        <v>552</v>
      </c>
      <c r="J39" s="1956"/>
      <c r="K39" s="1956"/>
      <c r="L39" s="1956"/>
      <c r="M39" s="1956"/>
      <c r="N39" s="67"/>
      <c r="O39" s="72"/>
      <c r="P39" s="72"/>
      <c r="Q39" s="78"/>
      <c r="R39" s="72"/>
      <c r="S39" s="56"/>
      <c r="T39" s="72" t="s">
        <v>552</v>
      </c>
      <c r="U39" s="51"/>
      <c r="V39" s="72"/>
      <c r="W39" s="50"/>
      <c r="X39" s="78"/>
      <c r="Y39" s="45"/>
      <c r="Z39" s="45"/>
      <c r="AA39" s="46"/>
    </row>
    <row r="40" spans="1:27" ht="13.5" customHeight="1" x14ac:dyDescent="0.2">
      <c r="A40" s="1963"/>
      <c r="B40" s="1964"/>
      <c r="C40" s="1965"/>
      <c r="D40" s="1965"/>
      <c r="E40" s="1965"/>
      <c r="F40" s="1966"/>
      <c r="G40" s="1966"/>
      <c r="H40" s="1967"/>
      <c r="I40" s="1988"/>
      <c r="J40" s="1989"/>
      <c r="K40" s="1989"/>
      <c r="L40" s="1989"/>
      <c r="M40" s="1989"/>
      <c r="N40" s="1989"/>
      <c r="O40" s="1989"/>
      <c r="P40" s="1989"/>
      <c r="Q40" s="1989"/>
      <c r="R40" s="1989"/>
      <c r="S40" s="1990"/>
      <c r="T40" s="1988"/>
      <c r="U40" s="2051"/>
      <c r="V40" s="1989"/>
      <c r="W40" s="1989"/>
      <c r="X40" s="1989"/>
      <c r="Y40" s="1989"/>
      <c r="Z40" s="1989"/>
      <c r="AA40" s="199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7"/>
      <c r="B42" s="1969"/>
      <c r="C42" s="1970"/>
      <c r="D42" s="1968"/>
      <c r="E42" s="1969"/>
      <c r="F42" s="1969"/>
      <c r="G42" s="1969"/>
      <c r="H42" s="1970"/>
      <c r="I42" s="1952"/>
      <c r="J42" s="1953"/>
      <c r="K42" s="1953"/>
      <c r="L42" s="1953"/>
      <c r="M42" s="1953"/>
      <c r="N42" s="1953"/>
      <c r="O42" s="1954"/>
      <c r="P42" s="1987"/>
      <c r="Q42" s="1953"/>
      <c r="R42" s="1953"/>
      <c r="S42" s="1954"/>
      <c r="T42" s="1952"/>
      <c r="U42" s="1953"/>
      <c r="V42" s="1953"/>
      <c r="W42" s="1954"/>
      <c r="X42" s="1987"/>
      <c r="Y42" s="1953"/>
      <c r="Z42" s="1953"/>
      <c r="AA42" s="195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2"/>
      <c r="B44" s="1983"/>
      <c r="C44" s="1983"/>
      <c r="D44" s="1983"/>
      <c r="E44" s="1983"/>
      <c r="F44" s="1983"/>
      <c r="G44" s="1983"/>
      <c r="H44" s="1984"/>
      <c r="I44" s="1957"/>
      <c r="J44" s="1958"/>
      <c r="K44" s="1958"/>
      <c r="L44" s="1958"/>
      <c r="M44" s="1958"/>
      <c r="N44" s="1958"/>
      <c r="O44" s="1958"/>
      <c r="P44" s="1958"/>
      <c r="Q44" s="1958"/>
      <c r="R44" s="1958"/>
      <c r="S44" s="1959"/>
      <c r="T44" s="1957"/>
      <c r="U44" s="1976"/>
      <c r="V44" s="1976"/>
      <c r="W44" s="1976"/>
      <c r="X44" s="1976"/>
      <c r="Y44" s="1976"/>
      <c r="Z44" s="1958"/>
      <c r="AA44" s="195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97" zoomScale="110" zoomScaleNormal="110" workbookViewId="0">
      <selection sqref="A1:M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8" t="s">
        <v>1709</v>
      </c>
    </row>
    <row r="23" spans="1:5" x14ac:dyDescent="0.2">
      <c r="A23" s="168"/>
      <c r="B23" s="162" t="s">
        <v>1969</v>
      </c>
      <c r="D23" s="167" t="s">
        <v>658</v>
      </c>
      <c r="E23" s="184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1" t="s">
        <v>1125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715</v>
      </c>
      <c r="B40" s="2058"/>
      <c r="C40" s="2058"/>
      <c r="D40" s="2058"/>
      <c r="E40" s="2058"/>
    </row>
    <row r="41" spans="1:5" x14ac:dyDescent="0.2">
      <c r="A41" s="2059" t="s">
        <v>1706</v>
      </c>
      <c r="B41" s="2059"/>
      <c r="C41" s="2059"/>
      <c r="D41" s="2059"/>
      <c r="E41" s="2059"/>
    </row>
    <row r="42" spans="1:5" ht="12.75" customHeight="1" x14ac:dyDescent="0.2">
      <c r="A42" s="2060" t="s">
        <v>1080</v>
      </c>
      <c r="B42" s="2060"/>
      <c r="C42" s="2060"/>
      <c r="D42" s="2060"/>
      <c r="E42" s="206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6" t="s">
        <v>1879</v>
      </c>
    </row>
    <row r="60" spans="1:3" x14ac:dyDescent="0.2">
      <c r="A60" s="196"/>
      <c r="B60" s="149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sqref="A1:M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1230</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6" t="s">
        <v>1731</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6" t="s">
        <v>331</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1390</v>
      </c>
      <c r="B70" s="2079"/>
      <c r="C70" s="2079"/>
      <c r="D70" s="2079"/>
      <c r="E70" s="2080"/>
      <c r="F70" s="2080"/>
      <c r="G70" s="2080"/>
      <c r="H70" s="2080"/>
      <c r="I70" s="208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1387</v>
      </c>
      <c r="B83" s="2081"/>
      <c r="C83" s="2081"/>
      <c r="D83" s="208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2083</v>
      </c>
      <c r="D114" s="207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1397</v>
      </c>
      <c r="D117" s="2074"/>
      <c r="E117" s="2075"/>
      <c r="F117" s="2075"/>
      <c r="G117" s="2075"/>
      <c r="H117" s="2075"/>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2022</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404</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43">
        <f>ROUND(D10+F10+H10,5)</f>
        <v>0</v>
      </c>
      <c r="K10" s="222"/>
      <c r="L10" s="355"/>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4">
        <f>SUM('Acct Summary 7-8'!C8,'Acct Summary 7-8'!D8,'Acct Summary 7-8'!F8,'Acct Summary 7-8'!I8)</f>
        <v>2882990</v>
      </c>
      <c r="E16" s="356"/>
      <c r="F16" s="1744">
        <f>SUM('Acct Summary 7-8'!C17,'Acct Summary 7-8'!D17,'Acct Summary 7-8'!F17)</f>
        <v>2569469</v>
      </c>
      <c r="G16" s="356"/>
      <c r="H16" s="1744">
        <f>SUM(D16-F16)</f>
        <v>313521</v>
      </c>
      <c r="I16" s="222"/>
      <c r="J16" s="1744">
        <f>SUM('Acct Summary 7-8'!C81,'Acct Summary 7-8'!D81,'Acct Summary 7-8'!F81,'Acct Summary 7-8'!I81)</f>
        <v>370136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4">
        <f>'Short-Term Long-Term Debt 24'!F4</f>
        <v>0</v>
      </c>
      <c r="E22" s="356" t="s">
        <v>1062</v>
      </c>
      <c r="F22" s="1744">
        <f>'Short-Term Long-Term Debt 24'!F15</f>
        <v>0</v>
      </c>
      <c r="G22" s="356" t="s">
        <v>1062</v>
      </c>
      <c r="H22" s="1744">
        <f>'Short-Term Long-Term Debt 24'!F21</f>
        <v>0</v>
      </c>
      <c r="I22" s="356" t="s">
        <v>1062</v>
      </c>
      <c r="J22" s="1744">
        <f>'Short-Term Long-Term Debt 24'!F23</f>
        <v>0</v>
      </c>
      <c r="K22" s="356" t="s">
        <v>1062</v>
      </c>
      <c r="L22" s="174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1063</v>
      </c>
      <c r="F24" s="174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6"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6"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topLeftCell="A22" zoomScale="110" zoomScaleNormal="110" workbookViewId="0">
      <selection sqref="A1:M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577</v>
      </c>
      <c r="B2" s="2111"/>
      <c r="C2" s="2111"/>
      <c r="D2" s="2111"/>
      <c r="E2" s="2111"/>
      <c r="F2" s="2111"/>
      <c r="G2" s="2111"/>
      <c r="H2" s="2111"/>
      <c r="I2" s="2111"/>
      <c r="J2" s="2111"/>
      <c r="K2" s="2111"/>
      <c r="L2" s="2111"/>
      <c r="M2" s="2111"/>
      <c r="N2" s="2111"/>
      <c r="O2" s="2111"/>
      <c r="P2" s="2111"/>
      <c r="Q2" s="2111"/>
      <c r="R2" s="2111"/>
    </row>
    <row r="3" spans="1:18" ht="12.75" x14ac:dyDescent="0.2">
      <c r="A3" s="2112" t="s">
        <v>1480</v>
      </c>
      <c r="B3" s="2112"/>
      <c r="C3" s="2112"/>
      <c r="D3" s="2112"/>
      <c r="E3" s="2112"/>
      <c r="F3" s="2112"/>
      <c r="G3" s="2112"/>
      <c r="H3" s="2112"/>
      <c r="I3" s="2112"/>
      <c r="J3" s="2112"/>
      <c r="K3" s="2112"/>
      <c r="L3" s="2112"/>
      <c r="M3" s="2112"/>
      <c r="N3" s="2112"/>
      <c r="O3" s="2112"/>
      <c r="P3" s="2112"/>
      <c r="Q3" s="2112"/>
      <c r="R3" s="2112"/>
    </row>
    <row r="4" spans="1:18" x14ac:dyDescent="0.2">
      <c r="A4" s="2113" t="s">
        <v>1635</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Valley Ed for Employment System</v>
      </c>
      <c r="E7" s="391"/>
      <c r="G7" s="252"/>
      <c r="H7" s="387"/>
      <c r="I7" s="387"/>
      <c r="J7" s="387"/>
      <c r="K7" s="387"/>
      <c r="L7" s="329"/>
      <c r="M7" s="329"/>
      <c r="N7" s="329"/>
      <c r="O7" s="329"/>
      <c r="P7" s="329"/>
    </row>
    <row r="8" spans="1:18" ht="12.75" x14ac:dyDescent="0.2">
      <c r="A8" s="329"/>
      <c r="B8" s="329"/>
      <c r="C8" s="389" t="s">
        <v>1187</v>
      </c>
      <c r="D8" s="392">
        <f>COVER!A13</f>
        <v>31000000046</v>
      </c>
      <c r="E8" s="393"/>
      <c r="G8" s="329"/>
      <c r="H8" s="329"/>
      <c r="I8" s="329"/>
      <c r="J8" s="329"/>
      <c r="K8" s="329"/>
      <c r="L8" s="329"/>
      <c r="M8" s="329"/>
      <c r="N8" s="329"/>
      <c r="O8" s="329"/>
      <c r="P8" s="329"/>
    </row>
    <row r="9" spans="1:18" ht="12.75" x14ac:dyDescent="0.2">
      <c r="A9" s="329"/>
      <c r="B9" s="329"/>
      <c r="C9" s="389" t="s">
        <v>737</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370136</v>
      </c>
      <c r="I12" s="404"/>
      <c r="J12" s="404"/>
      <c r="K12" s="405">
        <f>TRUNC((H12/H13*100000),5)/100000</f>
        <v>0.1283861546</v>
      </c>
      <c r="L12" s="406"/>
      <c r="M12" s="360" t="s">
        <v>1206</v>
      </c>
      <c r="N12" s="360"/>
      <c r="O12" s="407">
        <v>0.35</v>
      </c>
      <c r="P12" s="218"/>
      <c r="Q12" s="218"/>
    </row>
    <row r="13" spans="1:18" s="408" customFormat="1" ht="12.75" x14ac:dyDescent="0.2">
      <c r="A13" s="218"/>
      <c r="B13" s="401"/>
      <c r="C13" s="2109" t="s">
        <v>1391</v>
      </c>
      <c r="D13" s="2110"/>
      <c r="E13" s="218"/>
      <c r="F13" s="409" t="s">
        <v>826</v>
      </c>
      <c r="G13" s="402"/>
      <c r="H13" s="403">
        <f>SUM('Acct Summary 7-8'!C8+'Acct Summary 7-8'!D8+'Acct Summary 7-8'!F8+'Acct Summary 7-8'!I8)+H14</f>
        <v>2882990</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2569469</v>
      </c>
      <c r="I17" s="404"/>
      <c r="J17" s="416"/>
      <c r="K17" s="405">
        <f>TRUNC((H17/H18*100000),5)/100000</f>
        <v>0.89125144379999999</v>
      </c>
      <c r="L17" s="406"/>
      <c r="M17" s="417" t="s">
        <v>1233</v>
      </c>
      <c r="O17" s="418" t="str">
        <f>IF(AND(O16="2", J20 &gt; 2),"1",IF(AND(O16 = "1", J20 &gt; 2),"2",IF(AND(O16="1", J20 &gt;1),"1","0")))</f>
        <v>0</v>
      </c>
      <c r="P17" s="218"/>
    </row>
    <row r="18" spans="1:18" s="408" customFormat="1" ht="11.25" x14ac:dyDescent="0.2">
      <c r="A18" s="218"/>
      <c r="B18" s="401"/>
      <c r="C18" s="2109" t="s">
        <v>1384</v>
      </c>
      <c r="D18" s="2110"/>
      <c r="E18" s="218"/>
      <c r="F18" s="419" t="s">
        <v>827</v>
      </c>
      <c r="G18" s="402"/>
      <c r="H18" s="403">
        <f>SUM('Acct Summary 7-8'!C8+'Acct Summary 7-8'!D8+'Acct Summary 7-8'!F8+'Acct Summary 7-8'!I8)+H19</f>
        <v>2882990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06" t="s">
        <v>1479</v>
      </c>
      <c r="D24" s="2106"/>
      <c r="E24" s="218"/>
      <c r="F24" s="218" t="s">
        <v>465</v>
      </c>
      <c r="G24" s="402"/>
      <c r="H24" s="403">
        <f>SUM('Assets-Liab 5-6'!C4+'Assets-Liab 5-6'!D4+'Assets-Liab 5-6'!F4+'Assets-Liab 5-6'!I4+'Assets-Liab 5-6'!C5+'Assets-Liab 5-6'!D5+'Assets-Liab 5-6'!F5+'Assets-Liab 5-6'!I5)</f>
        <v>370136</v>
      </c>
      <c r="I24" s="422"/>
      <c r="J24" s="422"/>
      <c r="K24" s="423">
        <f>TRUNC(((H24/H25*100000)/100000),2)</f>
        <v>51.85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7137.4138899999998</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9" activePane="bottomLeft" state="frozen"/>
      <selection sqref="A1:M1"/>
      <selection pane="bottomLeft" activeCell="E19" sqref="E19"/>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11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6" t="s">
        <v>1030</v>
      </c>
      <c r="B3" s="2117"/>
      <c r="C3" s="1570"/>
      <c r="D3" s="1571"/>
      <c r="E3" s="1571"/>
      <c r="F3" s="1571"/>
      <c r="G3" s="1571"/>
      <c r="H3" s="1571"/>
      <c r="I3" s="1571"/>
      <c r="J3" s="1571"/>
      <c r="K3" s="1571"/>
      <c r="L3" s="1571"/>
      <c r="M3" s="1572"/>
      <c r="N3" s="1573"/>
    </row>
    <row r="4" spans="1:14" ht="13.5" customHeight="1" x14ac:dyDescent="0.2">
      <c r="A4" s="463" t="s">
        <v>1750</v>
      </c>
      <c r="B4" s="464"/>
      <c r="C4" s="465">
        <v>370136</v>
      </c>
      <c r="D4" s="465">
        <v>0</v>
      </c>
      <c r="E4" s="465">
        <v>0</v>
      </c>
      <c r="F4" s="465">
        <v>0</v>
      </c>
      <c r="G4" s="465">
        <v>0</v>
      </c>
      <c r="H4" s="465">
        <v>0</v>
      </c>
      <c r="I4" s="465">
        <v>0</v>
      </c>
      <c r="J4" s="465">
        <v>0</v>
      </c>
      <c r="K4" s="465">
        <v>0</v>
      </c>
      <c r="L4" s="465">
        <v>0</v>
      </c>
      <c r="M4" s="468"/>
      <c r="N4" s="469"/>
    </row>
    <row r="5" spans="1:14" x14ac:dyDescent="0.2">
      <c r="A5" s="463" t="s">
        <v>1049</v>
      </c>
      <c r="B5" s="470">
        <v>120</v>
      </c>
      <c r="C5" s="465">
        <v>0</v>
      </c>
      <c r="D5" s="465">
        <v>0</v>
      </c>
      <c r="E5" s="465">
        <v>0</v>
      </c>
      <c r="F5" s="465">
        <v>0</v>
      </c>
      <c r="G5" s="465">
        <v>0</v>
      </c>
      <c r="H5" s="465">
        <v>0</v>
      </c>
      <c r="I5" s="465">
        <v>0</v>
      </c>
      <c r="J5" s="465">
        <v>0</v>
      </c>
      <c r="K5" s="465">
        <v>0</v>
      </c>
      <c r="L5" s="471">
        <v>0</v>
      </c>
      <c r="M5" s="468"/>
      <c r="N5" s="469"/>
    </row>
    <row r="6" spans="1:14" ht="13.5" customHeight="1" x14ac:dyDescent="0.2">
      <c r="A6" s="472" t="s">
        <v>437</v>
      </c>
      <c r="B6" s="470">
        <v>130</v>
      </c>
      <c r="C6" s="465">
        <v>0</v>
      </c>
      <c r="D6" s="465">
        <v>0</v>
      </c>
      <c r="E6" s="465">
        <v>0</v>
      </c>
      <c r="F6" s="465">
        <v>0</v>
      </c>
      <c r="G6" s="465">
        <v>0</v>
      </c>
      <c r="H6" s="465">
        <v>0</v>
      </c>
      <c r="I6" s="465">
        <v>0</v>
      </c>
      <c r="J6" s="465">
        <v>0</v>
      </c>
      <c r="K6" s="465">
        <v>0</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0</v>
      </c>
      <c r="D8" s="465">
        <v>0</v>
      </c>
      <c r="E8" s="465">
        <v>0</v>
      </c>
      <c r="F8" s="465">
        <v>0</v>
      </c>
      <c r="G8" s="465">
        <v>0</v>
      </c>
      <c r="H8" s="465">
        <v>0</v>
      </c>
      <c r="I8" s="465">
        <v>0</v>
      </c>
      <c r="J8" s="465">
        <v>0</v>
      </c>
      <c r="K8" s="465">
        <v>0</v>
      </c>
      <c r="L8" s="477"/>
      <c r="M8" s="468"/>
      <c r="N8" s="469"/>
    </row>
    <row r="9" spans="1:14" ht="13.5" customHeight="1" x14ac:dyDescent="0.2">
      <c r="A9" s="472" t="s">
        <v>288</v>
      </c>
      <c r="B9" s="470">
        <v>160</v>
      </c>
      <c r="C9" s="465">
        <v>0</v>
      </c>
      <c r="D9" s="465">
        <v>0</v>
      </c>
      <c r="E9" s="465">
        <v>0</v>
      </c>
      <c r="F9" s="465">
        <v>0</v>
      </c>
      <c r="G9" s="465">
        <v>0</v>
      </c>
      <c r="H9" s="465">
        <v>0</v>
      </c>
      <c r="I9" s="465">
        <v>0</v>
      </c>
      <c r="J9" s="465">
        <v>0</v>
      </c>
      <c r="K9" s="465">
        <v>0</v>
      </c>
      <c r="L9" s="467">
        <v>0</v>
      </c>
      <c r="M9" s="468"/>
      <c r="N9" s="469"/>
    </row>
    <row r="10" spans="1:14" ht="13.5" customHeight="1" x14ac:dyDescent="0.2">
      <c r="A10" s="472" t="s">
        <v>1048</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0</v>
      </c>
      <c r="D11" s="465">
        <v>0</v>
      </c>
      <c r="E11" s="465">
        <v>0</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7" t="s">
        <v>665</v>
      </c>
      <c r="B13" s="1720"/>
      <c r="C13" s="1748">
        <f>SUM(C4:C12)</f>
        <v>370136</v>
      </c>
      <c r="D13" s="1748">
        <f t="shared" ref="D13:L13" si="0">SUM(D4:D12)</f>
        <v>0</v>
      </c>
      <c r="E13" s="1748">
        <f t="shared" si="0"/>
        <v>0</v>
      </c>
      <c r="F13" s="1748">
        <f t="shared" si="0"/>
        <v>0</v>
      </c>
      <c r="G13" s="1748">
        <f t="shared" si="0"/>
        <v>0</v>
      </c>
      <c r="H13" s="1748">
        <f t="shared" si="0"/>
        <v>0</v>
      </c>
      <c r="I13" s="1748">
        <f t="shared" si="0"/>
        <v>0</v>
      </c>
      <c r="J13" s="1748">
        <f t="shared" si="0"/>
        <v>0</v>
      </c>
      <c r="K13" s="1748">
        <f t="shared" si="0"/>
        <v>0</v>
      </c>
      <c r="L13" s="1748">
        <f t="shared" si="0"/>
        <v>0</v>
      </c>
      <c r="M13" s="468"/>
      <c r="N13" s="469"/>
    </row>
    <row r="14" spans="1:14" ht="18" customHeight="1" thickTop="1" x14ac:dyDescent="0.2">
      <c r="A14" s="2118" t="s">
        <v>149</v>
      </c>
      <c r="B14" s="2119"/>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0</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0</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0</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0</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0</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0</v>
      </c>
    </row>
    <row r="23" spans="1:14" ht="13.5" customHeight="1" thickBot="1" x14ac:dyDescent="0.25">
      <c r="A23" s="1747" t="s">
        <v>664</v>
      </c>
      <c r="B23" s="1752"/>
      <c r="C23" s="468"/>
      <c r="D23" s="468"/>
      <c r="E23" s="468"/>
      <c r="F23" s="468"/>
      <c r="G23" s="468"/>
      <c r="H23" s="468"/>
      <c r="I23" s="468"/>
      <c r="J23" s="468"/>
      <c r="K23" s="468"/>
      <c r="L23" s="468"/>
      <c r="M23" s="1699">
        <f>SUM(M15:M22)</f>
        <v>0</v>
      </c>
      <c r="N23" s="1699">
        <f>SUM(N21:N22)</f>
        <v>0</v>
      </c>
    </row>
    <row r="24" spans="1:14" ht="18" customHeight="1" thickTop="1" x14ac:dyDescent="0.2">
      <c r="A24" s="2120" t="s">
        <v>619</v>
      </c>
      <c r="B24" s="2121"/>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668</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2" t="s">
        <v>672</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6" t="s">
        <v>673</v>
      </c>
      <c r="B32" s="487">
        <v>490</v>
      </c>
      <c r="C32" s="465">
        <v>0</v>
      </c>
      <c r="D32" s="465">
        <v>0</v>
      </c>
      <c r="E32" s="465">
        <v>0</v>
      </c>
      <c r="F32" s="465">
        <v>0</v>
      </c>
      <c r="G32" s="465">
        <v>0</v>
      </c>
      <c r="H32" s="465">
        <v>0</v>
      </c>
      <c r="I32" s="465">
        <v>0</v>
      </c>
      <c r="J32" s="465">
        <v>0</v>
      </c>
      <c r="K32" s="465">
        <v>0</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0</v>
      </c>
      <c r="M33" s="468"/>
      <c r="N33" s="469"/>
    </row>
    <row r="34" spans="1:14" ht="13.5" customHeight="1" thickBot="1" x14ac:dyDescent="0.25">
      <c r="A34" s="1749" t="s">
        <v>675</v>
      </c>
      <c r="B34" s="1750"/>
      <c r="C34" s="1751">
        <f>SUM(C25:C33)</f>
        <v>0</v>
      </c>
      <c r="D34" s="1751">
        <f t="shared" ref="D34:K34" si="1">SUM(D25:D33)</f>
        <v>0</v>
      </c>
      <c r="E34" s="1751">
        <f t="shared" si="1"/>
        <v>0</v>
      </c>
      <c r="F34" s="1751">
        <f t="shared" si="1"/>
        <v>0</v>
      </c>
      <c r="G34" s="1751">
        <f t="shared" si="1"/>
        <v>0</v>
      </c>
      <c r="H34" s="1751">
        <f t="shared" si="1"/>
        <v>0</v>
      </c>
      <c r="I34" s="1751">
        <f t="shared" si="1"/>
        <v>0</v>
      </c>
      <c r="J34" s="1751">
        <f t="shared" si="1"/>
        <v>0</v>
      </c>
      <c r="K34" s="1751">
        <f t="shared" si="1"/>
        <v>0</v>
      </c>
      <c r="L34" s="1732">
        <f>SUM(L33)</f>
        <v>0</v>
      </c>
      <c r="M34" s="468"/>
      <c r="N34" s="477"/>
    </row>
    <row r="35" spans="1:14" ht="18" customHeight="1" thickTop="1" x14ac:dyDescent="0.2">
      <c r="A35" s="2122" t="s">
        <v>550</v>
      </c>
      <c r="B35" s="2123"/>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0</v>
      </c>
    </row>
    <row r="37" spans="1:14" ht="13.5" thickBot="1" x14ac:dyDescent="0.25">
      <c r="A37" s="1747" t="s">
        <v>674</v>
      </c>
      <c r="B37" s="1752"/>
      <c r="C37" s="474"/>
      <c r="D37" s="474"/>
      <c r="E37" s="474"/>
      <c r="F37" s="474"/>
      <c r="G37" s="474"/>
      <c r="H37" s="474"/>
      <c r="I37" s="474"/>
      <c r="J37" s="474"/>
      <c r="K37" s="474"/>
      <c r="L37" s="477"/>
      <c r="M37" s="468"/>
      <c r="N37" s="1699">
        <f>SUM(N36:N36)</f>
        <v>0</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370136</v>
      </c>
      <c r="D39" s="465">
        <v>0</v>
      </c>
      <c r="E39" s="465">
        <v>0</v>
      </c>
      <c r="F39" s="465">
        <v>0</v>
      </c>
      <c r="G39" s="465">
        <v>0</v>
      </c>
      <c r="H39" s="465">
        <v>0</v>
      </c>
      <c r="I39" s="465">
        <v>0</v>
      </c>
      <c r="J39" s="465">
        <v>0</v>
      </c>
      <c r="K39" s="465">
        <v>0</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0</v>
      </c>
      <c r="N40" s="493"/>
    </row>
    <row r="41" spans="1:14" ht="13.5" customHeight="1" thickBot="1" x14ac:dyDescent="0.25">
      <c r="A41" s="1747" t="s">
        <v>676</v>
      </c>
      <c r="B41" s="1717"/>
      <c r="C41" s="1699">
        <f>(SUM(C34,C37,C38,C39))</f>
        <v>370136</v>
      </c>
      <c r="D41" s="1699">
        <f t="shared" ref="D41:L41" si="2">SUM(D34,D37,D38:D39)</f>
        <v>0</v>
      </c>
      <c r="E41" s="1699">
        <f t="shared" si="2"/>
        <v>0</v>
      </c>
      <c r="F41" s="1699">
        <f t="shared" si="2"/>
        <v>0</v>
      </c>
      <c r="G41" s="1699">
        <f t="shared" si="2"/>
        <v>0</v>
      </c>
      <c r="H41" s="1699">
        <f t="shared" si="2"/>
        <v>0</v>
      </c>
      <c r="I41" s="1699">
        <f t="shared" si="2"/>
        <v>0</v>
      </c>
      <c r="J41" s="1699">
        <f t="shared" si="2"/>
        <v>0</v>
      </c>
      <c r="K41" s="1699">
        <f t="shared" si="2"/>
        <v>0</v>
      </c>
      <c r="L41" s="1699">
        <f t="shared" si="2"/>
        <v>0</v>
      </c>
      <c r="M41" s="1699">
        <f>SUM(M40)</f>
        <v>0</v>
      </c>
      <c r="N41" s="1699">
        <f>SUM(N37)</f>
        <v>0</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fitToHeight="0"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0" activePane="bottomLeft" state="frozenSplit"/>
      <selection sqref="A1:M1"/>
      <selection pane="bottomLeft" sqref="A1:M2"/>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132"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133"/>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144" t="s">
        <v>1237</v>
      </c>
      <c r="B3" s="2145"/>
      <c r="C3" s="1584"/>
      <c r="D3" s="1585"/>
      <c r="E3" s="1585"/>
      <c r="F3" s="1585"/>
      <c r="G3" s="1585"/>
      <c r="H3" s="1585"/>
      <c r="I3" s="1585"/>
      <c r="J3" s="1585"/>
      <c r="K3" s="1586"/>
      <c r="L3" s="502"/>
    </row>
    <row r="4" spans="1:13" ht="15.75" customHeight="1" x14ac:dyDescent="0.2">
      <c r="A4" s="1943" t="s">
        <v>1579</v>
      </c>
      <c r="B4" s="1944">
        <v>1000</v>
      </c>
      <c r="C4" s="1753">
        <f>'Revenues 9-14'!C109</f>
        <v>116</v>
      </c>
      <c r="D4" s="1753">
        <f>'Revenues 9-14'!D109</f>
        <v>0</v>
      </c>
      <c r="E4" s="1753">
        <f>'Revenues 9-14'!E109</f>
        <v>0</v>
      </c>
      <c r="F4" s="1753">
        <f>'Revenues 9-14'!F109</f>
        <v>0</v>
      </c>
      <c r="G4" s="1753">
        <f>'Revenues 9-14'!G109</f>
        <v>0</v>
      </c>
      <c r="H4" s="1753">
        <f>'Revenues 9-14'!H109</f>
        <v>0</v>
      </c>
      <c r="I4" s="1753">
        <f>'Revenues 9-14'!I109</f>
        <v>0</v>
      </c>
      <c r="J4" s="1753">
        <f>'Revenues 9-14'!J109</f>
        <v>0</v>
      </c>
      <c r="K4" s="1753">
        <f>'Revenues 9-14'!K109</f>
        <v>0</v>
      </c>
      <c r="L4" s="347"/>
    </row>
    <row r="5" spans="1:13" ht="15.75" customHeight="1" x14ac:dyDescent="0.2">
      <c r="A5" s="1587" t="s">
        <v>1580</v>
      </c>
      <c r="B5" s="1588">
        <v>2000</v>
      </c>
      <c r="C5" s="1754">
        <f>'Revenues 9-14'!C114</f>
        <v>2586029</v>
      </c>
      <c r="D5" s="1754">
        <f>'Revenues 9-14'!D114</f>
        <v>0</v>
      </c>
      <c r="E5" s="504"/>
      <c r="F5" s="1754">
        <f>'Revenues 9-14'!F114</f>
        <v>0</v>
      </c>
      <c r="G5" s="1754">
        <f>'Revenues 9-14'!G114</f>
        <v>0</v>
      </c>
      <c r="H5" s="505" t="s">
        <v>1231</v>
      </c>
      <c r="I5" s="506" t="s">
        <v>1231</v>
      </c>
      <c r="J5" s="507" t="s">
        <v>1231</v>
      </c>
      <c r="K5" s="508" t="s">
        <v>1231</v>
      </c>
      <c r="L5" s="347"/>
    </row>
    <row r="6" spans="1:13" ht="15.75" customHeight="1" x14ac:dyDescent="0.2">
      <c r="A6" s="1587" t="s">
        <v>1581</v>
      </c>
      <c r="B6" s="1589">
        <v>3000</v>
      </c>
      <c r="C6" s="1754">
        <f>'Revenues 9-14'!C173</f>
        <v>195845</v>
      </c>
      <c r="D6" s="1754">
        <f>'Revenues 9-14'!D173</f>
        <v>0</v>
      </c>
      <c r="E6" s="1754">
        <f>'Revenues 9-14'!E173</f>
        <v>0</v>
      </c>
      <c r="F6" s="1754">
        <f>'Revenues 9-14'!F173</f>
        <v>0</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1582</v>
      </c>
      <c r="B7" s="1589">
        <v>4000</v>
      </c>
      <c r="C7" s="1754">
        <f>'Revenues 9-14'!C274</f>
        <v>101000</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1234</v>
      </c>
      <c r="B8" s="1720"/>
      <c r="C8" s="1699">
        <f>SUM(C4:C7)</f>
        <v>2882990</v>
      </c>
      <c r="D8" s="1699">
        <f t="shared" ref="D8:K8" si="0">SUM(D4:D7)</f>
        <v>0</v>
      </c>
      <c r="E8" s="1699">
        <f t="shared" si="0"/>
        <v>0</v>
      </c>
      <c r="F8" s="1699">
        <f t="shared" si="0"/>
        <v>0</v>
      </c>
      <c r="G8" s="1699">
        <f t="shared" si="0"/>
        <v>0</v>
      </c>
      <c r="H8" s="1699">
        <f t="shared" si="0"/>
        <v>0</v>
      </c>
      <c r="I8" s="1699">
        <f t="shared" si="0"/>
        <v>0</v>
      </c>
      <c r="J8" s="1699">
        <f t="shared" si="0"/>
        <v>0</v>
      </c>
      <c r="K8" s="1699">
        <f t="shared" si="0"/>
        <v>0</v>
      </c>
      <c r="L8" s="347"/>
    </row>
    <row r="9" spans="1:13" ht="15.75" thickTop="1" x14ac:dyDescent="0.2">
      <c r="A9" s="510" t="s">
        <v>1752</v>
      </c>
      <c r="B9" s="511">
        <v>3998</v>
      </c>
      <c r="C9" s="478">
        <v>0</v>
      </c>
      <c r="D9" s="512">
        <v>0</v>
      </c>
      <c r="E9" s="478">
        <v>0</v>
      </c>
      <c r="F9" s="478">
        <v>0</v>
      </c>
      <c r="G9" s="513">
        <v>0</v>
      </c>
      <c r="H9" s="478">
        <v>0</v>
      </c>
      <c r="I9" s="505" t="s">
        <v>1231</v>
      </c>
      <c r="J9" s="475">
        <v>0</v>
      </c>
      <c r="K9" s="478">
        <v>0</v>
      </c>
      <c r="L9" s="347"/>
    </row>
    <row r="10" spans="1:13" s="515" customFormat="1" ht="13.5" thickBot="1" x14ac:dyDescent="0.25">
      <c r="A10" s="1747" t="s">
        <v>1235</v>
      </c>
      <c r="B10" s="1720"/>
      <c r="C10" s="1699">
        <f>SUM(C8:C9)</f>
        <v>2882990</v>
      </c>
      <c r="D10" s="1699">
        <f t="shared" ref="D10:K10" si="1">SUM(D8:D9)</f>
        <v>0</v>
      </c>
      <c r="E10" s="1699">
        <f t="shared" si="1"/>
        <v>0</v>
      </c>
      <c r="F10" s="1699">
        <f t="shared" si="1"/>
        <v>0</v>
      </c>
      <c r="G10" s="1699">
        <f t="shared" si="1"/>
        <v>0</v>
      </c>
      <c r="H10" s="1699">
        <f t="shared" si="1"/>
        <v>0</v>
      </c>
      <c r="I10" s="1699">
        <f t="shared" si="1"/>
        <v>0</v>
      </c>
      <c r="J10" s="1699">
        <f t="shared" si="1"/>
        <v>0</v>
      </c>
      <c r="K10" s="1699">
        <f t="shared" si="1"/>
        <v>0</v>
      </c>
      <c r="L10" s="514"/>
    </row>
    <row r="11" spans="1:13" s="515" customFormat="1" ht="16.7" customHeight="1" thickTop="1" x14ac:dyDescent="0.2">
      <c r="A11" s="2118" t="s">
        <v>1238</v>
      </c>
      <c r="B11" s="2119"/>
      <c r="C11" s="1581"/>
      <c r="D11" s="1582"/>
      <c r="E11" s="1582"/>
      <c r="F11" s="1582"/>
      <c r="G11" s="1582"/>
      <c r="H11" s="1582"/>
      <c r="I11" s="1582"/>
      <c r="J11" s="1582"/>
      <c r="K11" s="1583"/>
      <c r="L11" s="514"/>
    </row>
    <row r="12" spans="1:13" ht="15.75" customHeight="1" x14ac:dyDescent="0.2">
      <c r="A12" s="1587" t="s">
        <v>476</v>
      </c>
      <c r="B12" s="1589">
        <v>1000</v>
      </c>
      <c r="C12" s="1753">
        <f>'Expenditures 15-22'!K33</f>
        <v>0</v>
      </c>
      <c r="D12" s="516" t="s">
        <v>1231</v>
      </c>
      <c r="E12" s="468" t="s">
        <v>1231</v>
      </c>
      <c r="F12" s="468" t="s">
        <v>1231</v>
      </c>
      <c r="G12" s="1753">
        <f>'Expenditures 15-22'!K229</f>
        <v>0</v>
      </c>
      <c r="H12" s="517"/>
      <c r="I12" s="468" t="s">
        <v>1231</v>
      </c>
      <c r="J12" s="468" t="s">
        <v>1231</v>
      </c>
      <c r="K12" s="517" t="s">
        <v>1231</v>
      </c>
      <c r="L12" s="347"/>
    </row>
    <row r="13" spans="1:13" ht="15.75" customHeight="1" x14ac:dyDescent="0.2">
      <c r="A13" s="1587" t="s">
        <v>477</v>
      </c>
      <c r="B13" s="1589">
        <v>2000</v>
      </c>
      <c r="C13" s="1754">
        <f>'Expenditures 15-22'!K74</f>
        <v>359286</v>
      </c>
      <c r="D13" s="1754">
        <f>'Expenditures 15-22'!K129</f>
        <v>0</v>
      </c>
      <c r="E13" s="469" t="s">
        <v>1231</v>
      </c>
      <c r="F13" s="1754">
        <f>'Expenditures 15-22'!K184</f>
        <v>0</v>
      </c>
      <c r="G13" s="1754">
        <f>'Expenditures 15-22'!K279</f>
        <v>0</v>
      </c>
      <c r="H13" s="1754">
        <f>'Expenditures 15-22'!K303</f>
        <v>0</v>
      </c>
      <c r="I13" s="468" t="s">
        <v>1231</v>
      </c>
      <c r="J13" s="1754">
        <f>'Expenditures 15-22'!K330</f>
        <v>0</v>
      </c>
      <c r="K13" s="1758">
        <f>'Expenditures 15-22'!K352</f>
        <v>0</v>
      </c>
      <c r="L13" s="347"/>
    </row>
    <row r="14" spans="1:13" ht="15.75" customHeight="1" x14ac:dyDescent="0.2">
      <c r="A14" s="1587" t="s">
        <v>469</v>
      </c>
      <c r="B14" s="1589">
        <v>3000</v>
      </c>
      <c r="C14" s="1754">
        <f>'Expenditures 15-22'!K75</f>
        <v>0</v>
      </c>
      <c r="D14" s="1754">
        <f>'Expenditures 15-22'!K130</f>
        <v>0</v>
      </c>
      <c r="E14" s="516" t="s">
        <v>1231</v>
      </c>
      <c r="F14" s="1754">
        <f>'Expenditures 15-22'!K185</f>
        <v>0</v>
      </c>
      <c r="G14" s="1754">
        <f>'Expenditures 15-22'!K280</f>
        <v>0</v>
      </c>
      <c r="H14" s="508"/>
      <c r="I14" s="468" t="s">
        <v>1231</v>
      </c>
      <c r="J14" s="468" t="s">
        <v>1231</v>
      </c>
      <c r="K14" s="508" t="s">
        <v>1231</v>
      </c>
      <c r="L14" s="347"/>
    </row>
    <row r="15" spans="1:13" ht="15.75" customHeight="1" x14ac:dyDescent="0.2">
      <c r="A15" s="1587" t="s">
        <v>109</v>
      </c>
      <c r="B15" s="1589">
        <v>4000</v>
      </c>
      <c r="C15" s="1754">
        <f>'Expenditures 15-22'!K102</f>
        <v>2210183</v>
      </c>
      <c r="D15" s="1754">
        <f>'Expenditures 15-22'!K139</f>
        <v>0</v>
      </c>
      <c r="E15" s="1754">
        <f>'Expenditures 15-22'!K160</f>
        <v>0</v>
      </c>
      <c r="F15" s="1754">
        <f>'Expenditures 15-22'!K196</f>
        <v>0</v>
      </c>
      <c r="G15" s="1754">
        <f>'Expenditures 15-22'!K285</f>
        <v>0</v>
      </c>
      <c r="H15" s="1754">
        <f>'Expenditures 15-22'!K310</f>
        <v>0</v>
      </c>
      <c r="I15" s="468" t="s">
        <v>1231</v>
      </c>
      <c r="J15" s="1847">
        <f>'Expenditures 15-22'!K334</f>
        <v>0</v>
      </c>
      <c r="K15" s="1754">
        <f>'Expenditures 15-22'!K357</f>
        <v>0</v>
      </c>
      <c r="L15" s="347"/>
    </row>
    <row r="16" spans="1:13" ht="15.75" customHeight="1" x14ac:dyDescent="0.2">
      <c r="A16" s="1587" t="s">
        <v>470</v>
      </c>
      <c r="B16" s="1589">
        <v>5000</v>
      </c>
      <c r="C16" s="1754">
        <f>'Expenditures 15-22'!K112</f>
        <v>0</v>
      </c>
      <c r="D16" s="1754">
        <f>'Expenditures 15-22'!K149</f>
        <v>0</v>
      </c>
      <c r="E16" s="1754">
        <f>'Expenditures 15-22'!K172</f>
        <v>0</v>
      </c>
      <c r="F16" s="1754">
        <f>'Expenditures 15-22'!K208</f>
        <v>0</v>
      </c>
      <c r="G16" s="1754">
        <f>'Expenditures 15-22'!K293</f>
        <v>0</v>
      </c>
      <c r="H16" s="519"/>
      <c r="I16" s="468" t="s">
        <v>1231</v>
      </c>
      <c r="J16" s="1759">
        <f>'Expenditures 15-22'!K340</f>
        <v>0</v>
      </c>
      <c r="K16" s="1754">
        <f>'Expenditures 15-22'!K365</f>
        <v>0</v>
      </c>
      <c r="L16" s="347"/>
    </row>
    <row r="17" spans="1:12" ht="13.5" thickBot="1" x14ac:dyDescent="0.25">
      <c r="A17" s="1719" t="s">
        <v>50</v>
      </c>
      <c r="B17" s="1720"/>
      <c r="C17" s="1699">
        <f t="shared" ref="C17:H17" si="2">SUM(C12:C16)</f>
        <v>2569469</v>
      </c>
      <c r="D17" s="1699">
        <f t="shared" si="2"/>
        <v>0</v>
      </c>
      <c r="E17" s="1699">
        <f t="shared" si="2"/>
        <v>0</v>
      </c>
      <c r="F17" s="1699">
        <f t="shared" si="2"/>
        <v>0</v>
      </c>
      <c r="G17" s="1699">
        <f t="shared" si="2"/>
        <v>0</v>
      </c>
      <c r="H17" s="1699">
        <f t="shared" si="2"/>
        <v>0</v>
      </c>
      <c r="I17" s="468"/>
      <c r="J17" s="1699">
        <f>SUM(J12:J16)</f>
        <v>0</v>
      </c>
      <c r="K17" s="1699">
        <f>SUM(K12:K16)</f>
        <v>0</v>
      </c>
      <c r="L17" s="347"/>
    </row>
    <row r="18" spans="1:12" ht="15" customHeight="1" thickTop="1" x14ac:dyDescent="0.2">
      <c r="A18" s="1755" t="s">
        <v>1753</v>
      </c>
      <c r="B18" s="1756">
        <v>4180</v>
      </c>
      <c r="C18" s="1753">
        <f t="shared" ref="C18:H18" si="3">C9</f>
        <v>0</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526</v>
      </c>
      <c r="B19" s="1720"/>
      <c r="C19" s="1699">
        <f t="shared" ref="C19:H19" si="4">SUM(C17:C18)</f>
        <v>2569469</v>
      </c>
      <c r="D19" s="1699">
        <f t="shared" si="4"/>
        <v>0</v>
      </c>
      <c r="E19" s="1699">
        <f t="shared" si="4"/>
        <v>0</v>
      </c>
      <c r="F19" s="1699">
        <f t="shared" si="4"/>
        <v>0</v>
      </c>
      <c r="G19" s="1699">
        <f t="shared" si="4"/>
        <v>0</v>
      </c>
      <c r="H19" s="1699">
        <f t="shared" si="4"/>
        <v>0</v>
      </c>
      <c r="I19" s="468"/>
      <c r="J19" s="1699">
        <f>SUM(J17:J18)</f>
        <v>0</v>
      </c>
      <c r="K19" s="1699">
        <f>SUM(K17:K18)</f>
        <v>0</v>
      </c>
      <c r="L19" s="347"/>
    </row>
    <row r="20" spans="1:12" ht="16.5" thickTop="1" thickBot="1" x14ac:dyDescent="0.25">
      <c r="A20" s="2134" t="s">
        <v>1754</v>
      </c>
      <c r="B20" s="2135"/>
      <c r="C20" s="1757">
        <f>C8-C17</f>
        <v>313521</v>
      </c>
      <c r="D20" s="1757">
        <f t="shared" ref="D20:K20" si="5">D8-D17</f>
        <v>0</v>
      </c>
      <c r="E20" s="1757">
        <f t="shared" si="5"/>
        <v>0</v>
      </c>
      <c r="F20" s="1757">
        <f t="shared" si="5"/>
        <v>0</v>
      </c>
      <c r="G20" s="1757">
        <f t="shared" si="5"/>
        <v>0</v>
      </c>
      <c r="H20" s="1757">
        <f t="shared" si="5"/>
        <v>0</v>
      </c>
      <c r="I20" s="1757">
        <f t="shared" si="5"/>
        <v>0</v>
      </c>
      <c r="J20" s="1757">
        <f t="shared" si="5"/>
        <v>0</v>
      </c>
      <c r="K20" s="1757">
        <f t="shared" si="5"/>
        <v>0</v>
      </c>
      <c r="L20" s="347"/>
    </row>
    <row r="21" spans="1:12" ht="16.7" customHeight="1" thickTop="1" x14ac:dyDescent="0.2">
      <c r="A21" s="2146" t="s">
        <v>616</v>
      </c>
      <c r="B21" s="2147"/>
      <c r="C21" s="1581"/>
      <c r="D21" s="1582"/>
      <c r="E21" s="1582"/>
      <c r="F21" s="1582"/>
      <c r="G21" s="1582"/>
      <c r="H21" s="1582"/>
      <c r="I21" s="1582"/>
      <c r="J21" s="1582"/>
      <c r="K21" s="1583"/>
      <c r="L21" s="520"/>
    </row>
    <row r="22" spans="1:12" ht="15.75" customHeight="1" collapsed="1" x14ac:dyDescent="0.2">
      <c r="A22" s="2142" t="s">
        <v>617</v>
      </c>
      <c r="B22" s="2143"/>
      <c r="C22" s="474"/>
      <c r="D22" s="474"/>
      <c r="E22" s="474"/>
      <c r="F22" s="474"/>
      <c r="G22" s="474"/>
      <c r="H22" s="474"/>
      <c r="I22" s="474"/>
      <c r="J22" s="474"/>
      <c r="K22" s="474"/>
      <c r="L22" s="347"/>
    </row>
    <row r="23" spans="1:12" s="482" customFormat="1" ht="15.75" customHeight="1" x14ac:dyDescent="0.2">
      <c r="A23" s="2138" t="s">
        <v>311</v>
      </c>
      <c r="B23" s="2139"/>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0</v>
      </c>
      <c r="E25" s="467">
        <v>0</v>
      </c>
      <c r="F25" s="467">
        <v>0</v>
      </c>
      <c r="G25" s="467">
        <v>0</v>
      </c>
      <c r="H25" s="467">
        <v>0</v>
      </c>
      <c r="I25" s="474"/>
      <c r="J25" s="467">
        <v>0</v>
      </c>
      <c r="K25" s="467">
        <v>0</v>
      </c>
      <c r="L25" s="520"/>
    </row>
    <row r="26" spans="1:12" s="482" customFormat="1" ht="13.5" customHeight="1" x14ac:dyDescent="0.2">
      <c r="A26" s="1500" t="s">
        <v>193</v>
      </c>
      <c r="B26" s="480">
        <v>7120</v>
      </c>
      <c r="C26" s="467">
        <v>0</v>
      </c>
      <c r="D26" s="467">
        <v>0</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1465</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1897</v>
      </c>
      <c r="B30" s="523">
        <v>7160</v>
      </c>
      <c r="C30" s="474"/>
      <c r="D30" s="467">
        <v>0</v>
      </c>
      <c r="E30" s="474"/>
      <c r="F30" s="474"/>
      <c r="G30" s="474"/>
      <c r="H30" s="474"/>
      <c r="I30" s="474"/>
      <c r="J30" s="474"/>
      <c r="K30" s="474"/>
      <c r="L30" s="520"/>
    </row>
    <row r="31" spans="1:12" s="482" customFormat="1" ht="26.25" x14ac:dyDescent="0.2">
      <c r="A31" s="1500" t="s">
        <v>1901</v>
      </c>
      <c r="B31" s="523">
        <v>7170</v>
      </c>
      <c r="C31" s="474"/>
      <c r="D31" s="474"/>
      <c r="E31" s="467">
        <v>0</v>
      </c>
      <c r="F31" s="474"/>
      <c r="G31" s="474"/>
      <c r="H31" s="474"/>
      <c r="I31" s="474"/>
      <c r="J31" s="474"/>
      <c r="K31" s="474"/>
      <c r="L31" s="520"/>
    </row>
    <row r="32" spans="1:12" s="482" customFormat="1" ht="15.75" customHeight="1" x14ac:dyDescent="0.2">
      <c r="A32" s="2140" t="s">
        <v>1038</v>
      </c>
      <c r="B32" s="2141"/>
      <c r="C32" s="474"/>
      <c r="D32" s="474"/>
      <c r="E32" s="473"/>
      <c r="F32" s="474"/>
      <c r="G32" s="474"/>
      <c r="H32" s="474"/>
      <c r="I32" s="474"/>
      <c r="J32" s="474"/>
      <c r="K32" s="474"/>
      <c r="L32" s="520"/>
    </row>
    <row r="33" spans="1:12" s="482" customFormat="1" x14ac:dyDescent="0.2">
      <c r="A33" s="1500" t="s">
        <v>432</v>
      </c>
      <c r="B33" s="521">
        <v>7210</v>
      </c>
      <c r="C33" s="467">
        <v>0</v>
      </c>
      <c r="D33" s="467">
        <v>0</v>
      </c>
      <c r="E33" s="467">
        <v>0</v>
      </c>
      <c r="F33" s="467">
        <v>0</v>
      </c>
      <c r="G33" s="474"/>
      <c r="H33" s="467">
        <v>0</v>
      </c>
      <c r="I33" s="467">
        <v>0</v>
      </c>
      <c r="J33" s="467">
        <v>0</v>
      </c>
      <c r="K33" s="467">
        <v>0</v>
      </c>
      <c r="L33" s="520"/>
    </row>
    <row r="34" spans="1:12" s="482" customFormat="1" x14ac:dyDescent="0.2">
      <c r="A34" s="1500" t="s">
        <v>1058</v>
      </c>
      <c r="B34" s="521">
        <v>7220</v>
      </c>
      <c r="C34" s="467">
        <v>0</v>
      </c>
      <c r="D34" s="467">
        <v>0</v>
      </c>
      <c r="E34" s="467">
        <v>0</v>
      </c>
      <c r="F34" s="467">
        <v>0</v>
      </c>
      <c r="G34" s="474"/>
      <c r="H34" s="467">
        <v>0</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0</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4">
        <f>SUM(C54:D57,H54:H57)</f>
        <v>0</v>
      </c>
      <c r="F37" s="473"/>
      <c r="G37" s="473"/>
      <c r="H37" s="473"/>
      <c r="I37" s="474"/>
      <c r="J37" s="473"/>
      <c r="K37" s="473"/>
      <c r="L37" s="520"/>
    </row>
    <row r="38" spans="1:12" s="482" customFormat="1" x14ac:dyDescent="0.2">
      <c r="A38" s="1500" t="s">
        <v>462</v>
      </c>
      <c r="B38" s="521">
        <v>7500</v>
      </c>
      <c r="C38" s="474"/>
      <c r="D38" s="474"/>
      <c r="E38" s="1754">
        <f>SUM(C58:D61,H58:H61)</f>
        <v>0</v>
      </c>
      <c r="F38" s="474"/>
      <c r="G38" s="474"/>
      <c r="H38" s="474"/>
      <c r="I38" s="474"/>
      <c r="J38" s="474"/>
      <c r="K38" s="474"/>
      <c r="L38" s="520"/>
    </row>
    <row r="39" spans="1:12" s="482" customFormat="1" x14ac:dyDescent="0.2">
      <c r="A39" s="1500" t="s">
        <v>463</v>
      </c>
      <c r="B39" s="521">
        <v>7600</v>
      </c>
      <c r="C39" s="474"/>
      <c r="D39" s="474"/>
      <c r="E39" s="1754">
        <f>SUM(C62:D65)</f>
        <v>0</v>
      </c>
      <c r="F39" s="474"/>
      <c r="G39" s="474"/>
      <c r="H39" s="474"/>
      <c r="I39" s="474"/>
      <c r="J39" s="474"/>
      <c r="K39" s="474"/>
      <c r="L39" s="520"/>
    </row>
    <row r="40" spans="1:12" s="482" customFormat="1" ht="13.5" customHeight="1" x14ac:dyDescent="0.2">
      <c r="A40" s="1500" t="s">
        <v>663</v>
      </c>
      <c r="B40" s="480">
        <v>7700</v>
      </c>
      <c r="C40" s="474"/>
      <c r="D40" s="474"/>
      <c r="E40" s="1754">
        <f>SUM(C66:D69)</f>
        <v>0</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4">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0</v>
      </c>
      <c r="D43" s="467">
        <v>0</v>
      </c>
      <c r="E43" s="467">
        <v>0</v>
      </c>
      <c r="F43" s="467">
        <v>0</v>
      </c>
      <c r="G43" s="467">
        <v>0</v>
      </c>
      <c r="H43" s="467">
        <v>0</v>
      </c>
      <c r="I43" s="467">
        <v>0</v>
      </c>
      <c r="J43" s="467">
        <v>0</v>
      </c>
      <c r="K43" s="467">
        <v>0</v>
      </c>
      <c r="L43" s="520"/>
    </row>
    <row r="44" spans="1:12" s="482" customFormat="1" ht="13.5" customHeight="1" thickBot="1" x14ac:dyDescent="0.25">
      <c r="A44" s="2148" t="s">
        <v>392</v>
      </c>
      <c r="B44" s="2149"/>
      <c r="C44" s="1714">
        <f>SUM(C24:C43)</f>
        <v>0</v>
      </c>
      <c r="D44" s="1714">
        <f t="shared" ref="D44:K44" si="6">SUM(D24:D43)</f>
        <v>0</v>
      </c>
      <c r="E44" s="1714">
        <f t="shared" si="6"/>
        <v>0</v>
      </c>
      <c r="F44" s="1714">
        <f t="shared" si="6"/>
        <v>0</v>
      </c>
      <c r="G44" s="1714">
        <f t="shared" si="6"/>
        <v>0</v>
      </c>
      <c r="H44" s="1714">
        <f t="shared" si="6"/>
        <v>0</v>
      </c>
      <c r="I44" s="1714">
        <f t="shared" si="6"/>
        <v>0</v>
      </c>
      <c r="J44" s="1714">
        <f t="shared" si="6"/>
        <v>0</v>
      </c>
      <c r="K44" s="1714">
        <f t="shared" si="6"/>
        <v>0</v>
      </c>
      <c r="L44" s="520"/>
    </row>
    <row r="45" spans="1:12" ht="15.75" customHeight="1" thickTop="1" x14ac:dyDescent="0.2">
      <c r="A45" s="2142" t="s">
        <v>110</v>
      </c>
      <c r="B45" s="2143"/>
      <c r="C45" s="524"/>
      <c r="D45" s="524"/>
      <c r="E45" s="524"/>
      <c r="F45" s="524"/>
      <c r="G45" s="524"/>
      <c r="H45" s="524"/>
      <c r="I45" s="524"/>
      <c r="J45" s="524"/>
      <c r="K45" s="524"/>
      <c r="L45" s="347"/>
    </row>
    <row r="46" spans="1:12" s="482" customFormat="1" ht="15.75" customHeight="1" x14ac:dyDescent="0.2">
      <c r="A46" s="2150" t="s">
        <v>111</v>
      </c>
      <c r="B46" s="2151"/>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4">
        <f>SUM(C24,C25:H25,J25:K25)</f>
        <v>0</v>
      </c>
      <c r="J47" s="474"/>
      <c r="K47" s="474"/>
      <c r="L47" s="525"/>
    </row>
    <row r="48" spans="1:12" s="482" customFormat="1" ht="15" x14ac:dyDescent="0.2">
      <c r="A48" s="1501" t="s">
        <v>1759</v>
      </c>
      <c r="B48" s="480">
        <v>8120</v>
      </c>
      <c r="C48" s="477"/>
      <c r="D48" s="477"/>
      <c r="E48" s="474"/>
      <c r="F48" s="477"/>
      <c r="G48" s="474"/>
      <c r="H48" s="474"/>
      <c r="I48" s="1754">
        <f>SUM(C26:H26,J26,K26)</f>
        <v>0</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1465</v>
      </c>
      <c r="B50" s="480">
        <v>8140</v>
      </c>
      <c r="C50" s="467">
        <v>0</v>
      </c>
      <c r="D50" s="467">
        <v>0</v>
      </c>
      <c r="E50" s="467">
        <v>0</v>
      </c>
      <c r="F50" s="467">
        <v>0</v>
      </c>
      <c r="G50" s="467">
        <v>0</v>
      </c>
      <c r="H50" s="467">
        <v>0</v>
      </c>
      <c r="I50" s="474"/>
      <c r="J50" s="467">
        <v>0</v>
      </c>
      <c r="K50" s="474"/>
      <c r="L50" s="520"/>
    </row>
    <row r="51" spans="1:12" s="482" customFormat="1" x14ac:dyDescent="0.2">
      <c r="A51" s="1501" t="s">
        <v>312</v>
      </c>
      <c r="B51" s="480">
        <v>8150</v>
      </c>
      <c r="C51" s="473"/>
      <c r="D51" s="473"/>
      <c r="E51" s="473"/>
      <c r="F51" s="473"/>
      <c r="G51" s="473"/>
      <c r="H51" s="1754">
        <f>SUM(D29)</f>
        <v>0</v>
      </c>
      <c r="I51" s="474"/>
      <c r="J51" s="473"/>
      <c r="K51" s="477"/>
      <c r="L51" s="520"/>
    </row>
    <row r="52" spans="1:12" s="482" customFormat="1" ht="26.25" x14ac:dyDescent="0.2">
      <c r="A52" s="1501" t="s">
        <v>1900</v>
      </c>
      <c r="B52" s="480">
        <v>8160</v>
      </c>
      <c r="C52" s="474"/>
      <c r="D52" s="474"/>
      <c r="E52" s="474"/>
      <c r="F52" s="474"/>
      <c r="G52" s="474"/>
      <c r="H52" s="474"/>
      <c r="I52" s="474"/>
      <c r="J52" s="474"/>
      <c r="K52" s="1754">
        <f>D30</f>
        <v>0</v>
      </c>
      <c r="L52" s="520"/>
    </row>
    <row r="53" spans="1:12" s="482" customFormat="1" ht="26.25" x14ac:dyDescent="0.2">
      <c r="A53" s="1501" t="s">
        <v>1899</v>
      </c>
      <c r="B53" s="480">
        <v>8170</v>
      </c>
      <c r="C53" s="477"/>
      <c r="D53" s="477"/>
      <c r="E53" s="474"/>
      <c r="F53" s="474"/>
      <c r="G53" s="474"/>
      <c r="H53" s="477"/>
      <c r="I53" s="474"/>
      <c r="J53" s="474"/>
      <c r="K53" s="1754">
        <f>E31</f>
        <v>0</v>
      </c>
      <c r="L53" s="520"/>
    </row>
    <row r="54" spans="1:12" s="482" customFormat="1" ht="13.5" thickBot="1" x14ac:dyDescent="0.25">
      <c r="A54" s="1501" t="s">
        <v>716</v>
      </c>
      <c r="B54" s="480">
        <v>8410</v>
      </c>
      <c r="C54" s="526">
        <v>0</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0</v>
      </c>
      <c r="D57" s="527">
        <v>0</v>
      </c>
      <c r="E57" s="474"/>
      <c r="F57" s="474"/>
      <c r="G57" s="474"/>
      <c r="H57" s="527">
        <v>0</v>
      </c>
      <c r="I57" s="474"/>
      <c r="J57" s="474"/>
      <c r="K57" s="474"/>
      <c r="L57" s="520"/>
    </row>
    <row r="58" spans="1:12" s="482" customFormat="1" ht="14.25" thickTop="1" thickBot="1" x14ac:dyDescent="0.25">
      <c r="A58" s="1501" t="s">
        <v>600</v>
      </c>
      <c r="B58" s="480">
        <v>8510</v>
      </c>
      <c r="C58" s="527">
        <v>0</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0</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0</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0</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0</v>
      </c>
      <c r="E75" s="526">
        <v>0</v>
      </c>
      <c r="F75" s="528">
        <v>0</v>
      </c>
      <c r="G75" s="528">
        <v>0</v>
      </c>
      <c r="H75" s="528">
        <v>0</v>
      </c>
      <c r="I75" s="526">
        <v>0</v>
      </c>
      <c r="J75" s="526">
        <v>0</v>
      </c>
      <c r="K75" s="528">
        <v>0</v>
      </c>
      <c r="L75" s="520"/>
    </row>
    <row r="76" spans="1:12" s="482" customFormat="1" ht="14.25" thickTop="1" thickBot="1" x14ac:dyDescent="0.25">
      <c r="A76" s="2124" t="s">
        <v>460</v>
      </c>
      <c r="B76" s="2125"/>
      <c r="C76" s="1714">
        <f t="shared" ref="C76:K76" si="7">SUM(C47:C75)</f>
        <v>0</v>
      </c>
      <c r="D76" s="1714">
        <f t="shared" si="7"/>
        <v>0</v>
      </c>
      <c r="E76" s="1714">
        <f t="shared" si="7"/>
        <v>0</v>
      </c>
      <c r="F76" s="1714">
        <f t="shared" si="7"/>
        <v>0</v>
      </c>
      <c r="G76" s="1714">
        <f t="shared" si="7"/>
        <v>0</v>
      </c>
      <c r="H76" s="1714">
        <f t="shared" si="7"/>
        <v>0</v>
      </c>
      <c r="I76" s="1714">
        <f t="shared" si="7"/>
        <v>0</v>
      </c>
      <c r="J76" s="1714">
        <f t="shared" si="7"/>
        <v>0</v>
      </c>
      <c r="K76" s="1714">
        <f t="shared" si="7"/>
        <v>0</v>
      </c>
      <c r="L76" s="520"/>
    </row>
    <row r="77" spans="1:12" ht="14.25" thickTop="1" thickBot="1" x14ac:dyDescent="0.25">
      <c r="A77" s="2126" t="s">
        <v>1239</v>
      </c>
      <c r="B77" s="2127"/>
      <c r="C77" s="1714">
        <f t="shared" ref="C77:K77" si="8">C44-C76</f>
        <v>0</v>
      </c>
      <c r="D77" s="1714">
        <f t="shared" si="8"/>
        <v>0</v>
      </c>
      <c r="E77" s="1714">
        <f t="shared" si="8"/>
        <v>0</v>
      </c>
      <c r="F77" s="1714">
        <f t="shared" si="8"/>
        <v>0</v>
      </c>
      <c r="G77" s="1714">
        <f t="shared" si="8"/>
        <v>0</v>
      </c>
      <c r="H77" s="1714">
        <f t="shared" si="8"/>
        <v>0</v>
      </c>
      <c r="I77" s="1714">
        <f t="shared" si="8"/>
        <v>0</v>
      </c>
      <c r="J77" s="1714">
        <f t="shared" si="8"/>
        <v>0</v>
      </c>
      <c r="K77" s="1714">
        <f t="shared" si="8"/>
        <v>0</v>
      </c>
      <c r="L77" s="347"/>
    </row>
    <row r="78" spans="1:12" ht="21.75" customHeight="1" thickTop="1" thickBot="1" x14ac:dyDescent="0.25">
      <c r="A78" s="2130" t="s">
        <v>618</v>
      </c>
      <c r="B78" s="2131"/>
      <c r="C78" s="1713">
        <f t="shared" ref="C78:K78" si="9">C20+C77</f>
        <v>313521</v>
      </c>
      <c r="D78" s="1713">
        <f t="shared" si="9"/>
        <v>0</v>
      </c>
      <c r="E78" s="1713">
        <f t="shared" si="9"/>
        <v>0</v>
      </c>
      <c r="F78" s="1713">
        <f t="shared" si="9"/>
        <v>0</v>
      </c>
      <c r="G78" s="1713">
        <f t="shared" si="9"/>
        <v>0</v>
      </c>
      <c r="H78" s="1713">
        <f t="shared" si="9"/>
        <v>0</v>
      </c>
      <c r="I78" s="1713">
        <f t="shared" si="9"/>
        <v>0</v>
      </c>
      <c r="J78" s="1713">
        <f t="shared" si="9"/>
        <v>0</v>
      </c>
      <c r="K78" s="1713">
        <f t="shared" si="9"/>
        <v>0</v>
      </c>
      <c r="L78" s="529"/>
    </row>
    <row r="79" spans="1:12" ht="13.5" thickTop="1" x14ac:dyDescent="0.2">
      <c r="A79" s="1505" t="s">
        <v>2073</v>
      </c>
      <c r="B79" s="530"/>
      <c r="C79" s="475">
        <v>56615</v>
      </c>
      <c r="D79" s="475">
        <v>0</v>
      </c>
      <c r="E79" s="475">
        <v>0</v>
      </c>
      <c r="F79" s="475">
        <v>0</v>
      </c>
      <c r="G79" s="475">
        <v>0</v>
      </c>
      <c r="H79" s="475">
        <v>0</v>
      </c>
      <c r="I79" s="475">
        <v>0</v>
      </c>
      <c r="J79" s="475">
        <v>0</v>
      </c>
      <c r="K79" s="475">
        <v>0</v>
      </c>
      <c r="L79" s="347"/>
    </row>
    <row r="80" spans="1:12" x14ac:dyDescent="0.2">
      <c r="A80" s="2136" t="s">
        <v>1898</v>
      </c>
      <c r="B80" s="2137"/>
      <c r="C80" s="467">
        <v>0</v>
      </c>
      <c r="D80" s="467">
        <v>0</v>
      </c>
      <c r="E80" s="467">
        <v>0</v>
      </c>
      <c r="F80" s="467">
        <v>0</v>
      </c>
      <c r="G80" s="467">
        <v>0</v>
      </c>
      <c r="H80" s="467">
        <v>0</v>
      </c>
      <c r="I80" s="467">
        <v>0</v>
      </c>
      <c r="J80" s="467">
        <v>0</v>
      </c>
      <c r="K80" s="467">
        <v>0</v>
      </c>
      <c r="L80" s="347"/>
    </row>
    <row r="81" spans="1:12" ht="13.5" thickBot="1" x14ac:dyDescent="0.25">
      <c r="A81" s="2128" t="s">
        <v>2074</v>
      </c>
      <c r="B81" s="2129"/>
      <c r="C81" s="1699">
        <f>(SUM(C78:C80))</f>
        <v>370136</v>
      </c>
      <c r="D81" s="1699">
        <f>SUM(D78:D80)</f>
        <v>0</v>
      </c>
      <c r="E81" s="1699">
        <f t="shared" ref="E81:K81" si="10">SUM(E78:E80)</f>
        <v>0</v>
      </c>
      <c r="F81" s="1699">
        <f t="shared" si="10"/>
        <v>0</v>
      </c>
      <c r="G81" s="1699">
        <f t="shared" si="10"/>
        <v>0</v>
      </c>
      <c r="H81" s="1699">
        <f t="shared" si="10"/>
        <v>0</v>
      </c>
      <c r="I81" s="1699">
        <f t="shared" si="10"/>
        <v>0</v>
      </c>
      <c r="J81" s="1699">
        <f t="shared" si="10"/>
        <v>0</v>
      </c>
      <c r="K81" s="1699">
        <f t="shared" si="10"/>
        <v>0</v>
      </c>
      <c r="L81" s="347"/>
    </row>
    <row r="82" spans="1:12" ht="0.75" customHeight="1" thickTop="1" thickBot="1" x14ac:dyDescent="0.25">
      <c r="A82" s="532" t="s">
        <v>361</v>
      </c>
      <c r="B82" s="533"/>
      <c r="C82" s="534">
        <f>(C81-C79)</f>
        <v>313521</v>
      </c>
      <c r="D82" s="534">
        <f t="shared" ref="D82:K82" si="11">(D81-D79)</f>
        <v>0</v>
      </c>
      <c r="E82" s="534">
        <f t="shared" si="11"/>
        <v>0</v>
      </c>
      <c r="F82" s="534">
        <f t="shared" si="11"/>
        <v>0</v>
      </c>
      <c r="G82" s="534">
        <f t="shared" si="11"/>
        <v>0</v>
      </c>
      <c r="H82" s="534">
        <f t="shared" si="11"/>
        <v>0</v>
      </c>
      <c r="I82" s="534">
        <f t="shared" si="11"/>
        <v>0</v>
      </c>
      <c r="J82" s="534">
        <f t="shared" si="11"/>
        <v>0</v>
      </c>
      <c r="K82" s="534">
        <f t="shared" si="11"/>
        <v>0</v>
      </c>
    </row>
    <row r="83" spans="1:12" ht="14.25" hidden="1" thickTop="1" thickBot="1" x14ac:dyDescent="0.25">
      <c r="A83" s="535" t="s">
        <v>362</v>
      </c>
      <c r="B83" s="464"/>
      <c r="C83" s="536">
        <f>C82/C81</f>
        <v>0.84704270862601849</v>
      </c>
      <c r="D83" s="536" t="e">
        <f t="shared" ref="D83:K83" si="12">D82/D81</f>
        <v>#DIV/0!</v>
      </c>
      <c r="E83" s="536" t="e">
        <f t="shared" si="12"/>
        <v>#DIV/0!</v>
      </c>
      <c r="F83" s="536" t="e">
        <f t="shared" si="12"/>
        <v>#DIV/0!</v>
      </c>
      <c r="G83" s="536" t="e">
        <f t="shared" si="12"/>
        <v>#DIV/0!</v>
      </c>
      <c r="H83" s="536" t="e">
        <f t="shared" si="12"/>
        <v>#DIV/0!</v>
      </c>
      <c r="I83" s="536" t="e">
        <f t="shared" si="12"/>
        <v>#DIV/0!</v>
      </c>
      <c r="J83" s="536" t="e">
        <f t="shared" si="12"/>
        <v>#DIV/0!</v>
      </c>
      <c r="K83" s="536" t="e">
        <f t="shared" si="12"/>
        <v>#DIV/0!</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51" activePane="bottomLeft" state="frozen"/>
      <selection sqref="A1:M1"/>
      <selection pane="bottomLeft" activeCell="C5" sqref="C5"/>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132" t="s">
        <v>1905</v>
      </c>
      <c r="B1" s="452"/>
      <c r="C1" s="453" t="s">
        <v>445</v>
      </c>
      <c r="D1" s="453" t="s">
        <v>446</v>
      </c>
      <c r="E1" s="453" t="s">
        <v>447</v>
      </c>
      <c r="F1" s="453" t="s">
        <v>448</v>
      </c>
      <c r="G1" s="453" t="s">
        <v>449</v>
      </c>
      <c r="H1" s="453" t="s">
        <v>450</v>
      </c>
      <c r="I1" s="453" t="s">
        <v>451</v>
      </c>
      <c r="J1" s="453" t="s">
        <v>452</v>
      </c>
      <c r="K1" s="453" t="s">
        <v>780</v>
      </c>
    </row>
    <row r="2" spans="1:12" ht="36" x14ac:dyDescent="0.2">
      <c r="A2" s="2133"/>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0</v>
      </c>
      <c r="D5" s="478">
        <v>0</v>
      </c>
      <c r="E5" s="478">
        <v>0</v>
      </c>
      <c r="F5" s="478">
        <v>0</v>
      </c>
      <c r="G5" s="478">
        <v>0</v>
      </c>
      <c r="H5" s="478">
        <v>0</v>
      </c>
      <c r="I5" s="478">
        <v>0</v>
      </c>
      <c r="J5" s="478">
        <v>0</v>
      </c>
      <c r="K5" s="478">
        <v>0</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0</v>
      </c>
      <c r="D7" s="478">
        <v>0</v>
      </c>
      <c r="E7" s="468"/>
      <c r="F7" s="478">
        <v>0</v>
      </c>
      <c r="G7" s="478">
        <v>0</v>
      </c>
      <c r="H7" s="478">
        <v>0</v>
      </c>
      <c r="I7" s="468"/>
      <c r="J7" s="468"/>
      <c r="K7" s="468"/>
    </row>
    <row r="8" spans="1:12" x14ac:dyDescent="0.2">
      <c r="A8" s="463" t="s">
        <v>433</v>
      </c>
      <c r="B8" s="470">
        <v>1150</v>
      </c>
      <c r="C8" s="473"/>
      <c r="D8" s="473"/>
      <c r="E8" s="474"/>
      <c r="F8" s="474"/>
      <c r="G8" s="478">
        <v>0</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0</v>
      </c>
      <c r="D12" s="1718">
        <f t="shared" si="0"/>
        <v>0</v>
      </c>
      <c r="E12" s="1718">
        <f t="shared" si="0"/>
        <v>0</v>
      </c>
      <c r="F12" s="1718">
        <f t="shared" si="0"/>
        <v>0</v>
      </c>
      <c r="G12" s="1718">
        <f t="shared" si="0"/>
        <v>0</v>
      </c>
      <c r="H12" s="1718">
        <f t="shared" si="0"/>
        <v>0</v>
      </c>
      <c r="I12" s="1718">
        <f t="shared" si="0"/>
        <v>0</v>
      </c>
      <c r="J12" s="1718">
        <f t="shared" si="0"/>
        <v>0</v>
      </c>
      <c r="K12" s="1699">
        <f t="shared" si="0"/>
        <v>0</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0</v>
      </c>
      <c r="D16" s="478">
        <v>0</v>
      </c>
      <c r="E16" s="478">
        <v>0</v>
      </c>
      <c r="F16" s="478">
        <v>0</v>
      </c>
      <c r="G16" s="478">
        <v>0</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9" t="s">
        <v>558</v>
      </c>
      <c r="B18" s="1720"/>
      <c r="C18" s="1721">
        <f>SUM(C14:C17)</f>
        <v>0</v>
      </c>
      <c r="D18" s="1721">
        <f t="shared" ref="D18:K18" si="1">SUM(D14:D17)</f>
        <v>0</v>
      </c>
      <c r="E18" s="1721">
        <f t="shared" si="1"/>
        <v>0</v>
      </c>
      <c r="F18" s="1721">
        <f t="shared" si="1"/>
        <v>0</v>
      </c>
      <c r="G18" s="1721">
        <f t="shared" si="1"/>
        <v>0</v>
      </c>
      <c r="H18" s="1721">
        <f t="shared" si="1"/>
        <v>0</v>
      </c>
      <c r="I18" s="1721">
        <f t="shared" si="1"/>
        <v>0</v>
      </c>
      <c r="J18" s="1721">
        <f t="shared" si="1"/>
        <v>0</v>
      </c>
      <c r="K18" s="1722">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0</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0</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0</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9" t="s">
        <v>559</v>
      </c>
      <c r="B40" s="1720"/>
      <c r="C40" s="1699">
        <f>SUM(C20:C39)</f>
        <v>0</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0</v>
      </c>
      <c r="G42" s="468"/>
      <c r="H42" s="468"/>
      <c r="I42" s="468"/>
      <c r="J42" s="468"/>
      <c r="K42" s="468"/>
    </row>
    <row r="43" spans="1:11" ht="12.75" customHeight="1" x14ac:dyDescent="0.2">
      <c r="A43" s="463" t="s">
        <v>892</v>
      </c>
      <c r="B43" s="470">
        <v>1412</v>
      </c>
      <c r="C43" s="468"/>
      <c r="D43" s="468"/>
      <c r="E43" s="468"/>
      <c r="F43" s="478">
        <v>0</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0</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9" t="s">
        <v>506</v>
      </c>
      <c r="B63" s="1720"/>
      <c r="C63" s="468"/>
      <c r="D63" s="468"/>
      <c r="E63" s="468"/>
      <c r="F63" s="1699">
        <f>SUM(F42:F62)</f>
        <v>0</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116</v>
      </c>
      <c r="D65" s="478">
        <v>0</v>
      </c>
      <c r="E65" s="478">
        <v>0</v>
      </c>
      <c r="F65" s="478">
        <v>0</v>
      </c>
      <c r="G65" s="478">
        <v>0</v>
      </c>
      <c r="H65" s="478">
        <v>0</v>
      </c>
      <c r="I65" s="478">
        <v>0</v>
      </c>
      <c r="J65" s="478">
        <v>0</v>
      </c>
      <c r="K65" s="478">
        <v>0</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9" t="s">
        <v>507</v>
      </c>
      <c r="B67" s="1720"/>
      <c r="C67" s="1699">
        <f>SUM(C65:C66)</f>
        <v>116</v>
      </c>
      <c r="D67" s="1699">
        <f t="shared" ref="D67:K67" si="2">SUM(D65:D66)</f>
        <v>0</v>
      </c>
      <c r="E67" s="1699">
        <f t="shared" si="2"/>
        <v>0</v>
      </c>
      <c r="F67" s="1699">
        <f t="shared" si="2"/>
        <v>0</v>
      </c>
      <c r="G67" s="1699">
        <f t="shared" si="2"/>
        <v>0</v>
      </c>
      <c r="H67" s="1699">
        <f t="shared" si="2"/>
        <v>0</v>
      </c>
      <c r="I67" s="1699">
        <f t="shared" si="2"/>
        <v>0</v>
      </c>
      <c r="J67" s="1699">
        <f t="shared" si="2"/>
        <v>0</v>
      </c>
      <c r="K67" s="1699">
        <f t="shared" si="2"/>
        <v>0</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0</v>
      </c>
      <c r="D69" s="468"/>
      <c r="E69" s="468"/>
      <c r="F69" s="468"/>
      <c r="G69" s="468"/>
      <c r="H69" s="468"/>
      <c r="I69" s="468"/>
      <c r="J69" s="468"/>
      <c r="K69" s="468"/>
    </row>
    <row r="70" spans="1:11" ht="12.75" customHeight="1" x14ac:dyDescent="0.2">
      <c r="A70" s="463" t="s">
        <v>1054</v>
      </c>
      <c r="B70" s="470">
        <v>1612</v>
      </c>
      <c r="C70" s="478">
        <v>0</v>
      </c>
      <c r="D70" s="468"/>
      <c r="E70" s="468"/>
      <c r="F70" s="468"/>
      <c r="G70" s="468"/>
      <c r="H70" s="468"/>
      <c r="I70" s="468"/>
      <c r="J70" s="468"/>
      <c r="K70" s="468"/>
    </row>
    <row r="71" spans="1:11" ht="12.75" customHeight="1" x14ac:dyDescent="0.2">
      <c r="A71" s="463" t="s">
        <v>291</v>
      </c>
      <c r="B71" s="470">
        <v>1613</v>
      </c>
      <c r="C71" s="478">
        <v>0</v>
      </c>
      <c r="D71" s="468"/>
      <c r="E71" s="468"/>
      <c r="F71" s="468"/>
      <c r="G71" s="468"/>
      <c r="H71" s="468"/>
      <c r="I71" s="468"/>
      <c r="J71" s="468"/>
      <c r="K71" s="468"/>
    </row>
    <row r="72" spans="1:11" ht="12.75" customHeight="1" x14ac:dyDescent="0.2">
      <c r="A72" s="463" t="s">
        <v>24</v>
      </c>
      <c r="B72" s="470">
        <v>1614</v>
      </c>
      <c r="C72" s="478">
        <v>0</v>
      </c>
      <c r="D72" s="468"/>
      <c r="E72" s="468"/>
      <c r="F72" s="468"/>
      <c r="G72" s="468"/>
      <c r="H72" s="468"/>
      <c r="I72" s="468"/>
      <c r="J72" s="468"/>
      <c r="K72" s="468"/>
    </row>
    <row r="73" spans="1:11" ht="12.75" customHeight="1" x14ac:dyDescent="0.2">
      <c r="A73" s="463" t="s">
        <v>1055</v>
      </c>
      <c r="B73" s="470">
        <v>1620</v>
      </c>
      <c r="C73" s="478">
        <v>0</v>
      </c>
      <c r="D73" s="468"/>
      <c r="E73" s="468"/>
      <c r="F73" s="468"/>
      <c r="G73" s="468"/>
      <c r="H73" s="468"/>
      <c r="I73" s="468"/>
      <c r="J73" s="468"/>
      <c r="K73" s="468"/>
    </row>
    <row r="74" spans="1:11" ht="12.75" customHeight="1" x14ac:dyDescent="0.2">
      <c r="A74" s="463" t="s">
        <v>25</v>
      </c>
      <c r="B74" s="470">
        <v>1690</v>
      </c>
      <c r="C74" s="478">
        <v>0</v>
      </c>
      <c r="D74" s="468"/>
      <c r="E74" s="468"/>
      <c r="F74" s="468"/>
      <c r="G74" s="468"/>
      <c r="H74" s="468"/>
      <c r="I74" s="468"/>
      <c r="J74" s="468"/>
      <c r="K74" s="468"/>
    </row>
    <row r="75" spans="1:11" ht="12.75" customHeight="1" thickBot="1" x14ac:dyDescent="0.25">
      <c r="A75" s="1719" t="s">
        <v>569</v>
      </c>
      <c r="B75" s="1720"/>
      <c r="C75" s="1699">
        <f>SUM(C69:C74)</f>
        <v>0</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0</v>
      </c>
      <c r="D77" s="478">
        <v>0</v>
      </c>
      <c r="E77" s="468"/>
      <c r="F77" s="468"/>
      <c r="G77" s="468"/>
      <c r="H77" s="468"/>
      <c r="I77" s="468"/>
      <c r="J77" s="468"/>
      <c r="K77" s="468"/>
    </row>
    <row r="78" spans="1:11" ht="12.75" customHeight="1" x14ac:dyDescent="0.2">
      <c r="A78" s="463" t="s">
        <v>78</v>
      </c>
      <c r="B78" s="470">
        <v>1719</v>
      </c>
      <c r="C78" s="478">
        <v>0</v>
      </c>
      <c r="D78" s="478">
        <v>0</v>
      </c>
      <c r="E78" s="468"/>
      <c r="F78" s="468"/>
      <c r="G78" s="468"/>
      <c r="H78" s="468"/>
      <c r="I78" s="468"/>
      <c r="J78" s="468"/>
      <c r="K78" s="468"/>
    </row>
    <row r="79" spans="1:11" ht="12.75" customHeight="1" x14ac:dyDescent="0.2">
      <c r="A79" s="463" t="s">
        <v>571</v>
      </c>
      <c r="B79" s="470">
        <v>1720</v>
      </c>
      <c r="C79" s="478">
        <v>0</v>
      </c>
      <c r="D79" s="478">
        <v>0</v>
      </c>
      <c r="E79" s="468"/>
      <c r="F79" s="468"/>
      <c r="G79" s="468"/>
      <c r="H79" s="468"/>
      <c r="I79" s="468"/>
      <c r="J79" s="468"/>
      <c r="K79" s="468"/>
    </row>
    <row r="80" spans="1:11" ht="12.75" customHeight="1" x14ac:dyDescent="0.2">
      <c r="A80" s="463" t="s">
        <v>572</v>
      </c>
      <c r="B80" s="470">
        <v>1730</v>
      </c>
      <c r="C80" s="478">
        <v>0</v>
      </c>
      <c r="D80" s="478">
        <v>0</v>
      </c>
      <c r="E80" s="468"/>
      <c r="F80" s="468"/>
      <c r="G80" s="468"/>
      <c r="H80" s="468"/>
      <c r="I80" s="468"/>
      <c r="J80" s="468"/>
      <c r="K80" s="468"/>
    </row>
    <row r="81" spans="1:11" ht="12.75" customHeight="1" x14ac:dyDescent="0.2">
      <c r="A81" s="463" t="s">
        <v>26</v>
      </c>
      <c r="B81" s="470">
        <v>1790</v>
      </c>
      <c r="C81" s="478">
        <v>0</v>
      </c>
      <c r="D81" s="478">
        <v>0</v>
      </c>
      <c r="E81" s="468"/>
      <c r="F81" s="468"/>
      <c r="G81" s="468"/>
      <c r="H81" s="468"/>
      <c r="I81" s="468"/>
      <c r="J81" s="468"/>
      <c r="K81" s="468"/>
    </row>
    <row r="82" spans="1:11" ht="12.75" customHeight="1" thickBot="1" x14ac:dyDescent="0.25">
      <c r="A82" s="1719" t="s">
        <v>259</v>
      </c>
      <c r="B82" s="1720"/>
      <c r="C82" s="1718">
        <f>SUM(C77:C81)</f>
        <v>0</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0</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0</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0</v>
      </c>
      <c r="D92" s="468"/>
      <c r="E92" s="468"/>
      <c r="F92" s="468"/>
      <c r="G92" s="468"/>
      <c r="H92" s="468"/>
      <c r="I92" s="468"/>
      <c r="J92" s="468"/>
      <c r="K92" s="468"/>
    </row>
    <row r="93" spans="1:11" ht="12.75" customHeight="1" thickBot="1" x14ac:dyDescent="0.25">
      <c r="A93" s="1719" t="s">
        <v>261</v>
      </c>
      <c r="B93" s="1720"/>
      <c r="C93" s="1699">
        <f>SUM(C84:C92)</f>
        <v>0</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0</v>
      </c>
      <c r="D95" s="478">
        <v>0</v>
      </c>
      <c r="E95" s="517"/>
      <c r="F95" s="517"/>
      <c r="G95" s="517"/>
      <c r="H95" s="517"/>
      <c r="I95" s="517"/>
      <c r="J95" s="517"/>
      <c r="K95" s="517"/>
    </row>
    <row r="96" spans="1:11" ht="12.75" customHeight="1" x14ac:dyDescent="0.2">
      <c r="A96" s="463" t="s">
        <v>409</v>
      </c>
      <c r="B96" s="470">
        <v>1920</v>
      </c>
      <c r="C96" s="478">
        <v>0</v>
      </c>
      <c r="D96" s="478">
        <v>0</v>
      </c>
      <c r="E96" s="478">
        <v>0</v>
      </c>
      <c r="F96" s="478">
        <v>0</v>
      </c>
      <c r="G96" s="478">
        <v>0</v>
      </c>
      <c r="H96" s="478">
        <v>0</v>
      </c>
      <c r="I96" s="478">
        <v>0</v>
      </c>
      <c r="J96" s="478">
        <v>0</v>
      </c>
      <c r="K96" s="478">
        <v>0</v>
      </c>
    </row>
    <row r="97" spans="1:12" ht="12.75" customHeight="1" x14ac:dyDescent="0.2">
      <c r="A97" s="1506"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0</v>
      </c>
      <c r="D98" s="478">
        <v>0</v>
      </c>
      <c r="E98" s="508"/>
      <c r="F98" s="478">
        <v>0</v>
      </c>
      <c r="G98" s="508"/>
      <c r="H98" s="508"/>
      <c r="I98" s="506"/>
      <c r="J98" s="508"/>
      <c r="K98" s="508"/>
    </row>
    <row r="99" spans="1:12" ht="12.75" customHeight="1" x14ac:dyDescent="0.2">
      <c r="A99" s="463" t="s">
        <v>875</v>
      </c>
      <c r="B99" s="470">
        <v>1950</v>
      </c>
      <c r="C99" s="478">
        <v>0</v>
      </c>
      <c r="D99" s="478">
        <v>0</v>
      </c>
      <c r="E99" s="478">
        <v>0</v>
      </c>
      <c r="F99" s="478">
        <v>0</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0</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0</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0</v>
      </c>
      <c r="D107" s="478">
        <v>0</v>
      </c>
      <c r="E107" s="478">
        <v>0</v>
      </c>
      <c r="F107" s="478">
        <v>0</v>
      </c>
      <c r="G107" s="478">
        <v>0</v>
      </c>
      <c r="H107" s="478">
        <v>0</v>
      </c>
      <c r="I107" s="478">
        <v>0</v>
      </c>
      <c r="J107" s="478">
        <v>0</v>
      </c>
      <c r="K107" s="478">
        <v>0</v>
      </c>
    </row>
    <row r="108" spans="1:12" ht="12.75" customHeight="1" thickBot="1" x14ac:dyDescent="0.25">
      <c r="A108" s="1719" t="s">
        <v>508</v>
      </c>
      <c r="B108" s="1723"/>
      <c r="C108" s="1718">
        <f>SUM(C95:C107)</f>
        <v>0</v>
      </c>
      <c r="D108" s="1718">
        <f t="shared" ref="D108:K108" si="3">SUM(D95:D107)</f>
        <v>0</v>
      </c>
      <c r="E108" s="1718">
        <f t="shared" si="3"/>
        <v>0</v>
      </c>
      <c r="F108" s="1718">
        <f t="shared" si="3"/>
        <v>0</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591</v>
      </c>
      <c r="C109" s="1726">
        <f t="shared" ref="C109:K109" si="4">SUM(C12,C18,C40,C63,C67,C75,C82,C93,C108,)</f>
        <v>116</v>
      </c>
      <c r="D109" s="1726">
        <f t="shared" si="4"/>
        <v>0</v>
      </c>
      <c r="E109" s="1726">
        <f t="shared" si="4"/>
        <v>0</v>
      </c>
      <c r="F109" s="1726">
        <f t="shared" si="4"/>
        <v>0</v>
      </c>
      <c r="G109" s="1726">
        <f t="shared" si="4"/>
        <v>0</v>
      </c>
      <c r="H109" s="1726">
        <f t="shared" si="4"/>
        <v>0</v>
      </c>
      <c r="I109" s="1726">
        <f t="shared" si="4"/>
        <v>0</v>
      </c>
      <c r="J109" s="1726">
        <f t="shared" si="4"/>
        <v>0</v>
      </c>
      <c r="K109" s="1713">
        <f t="shared" si="4"/>
        <v>0</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1939835</v>
      </c>
      <c r="D111" s="478">
        <v>0</v>
      </c>
      <c r="E111" s="555"/>
      <c r="F111" s="478">
        <v>0</v>
      </c>
      <c r="G111" s="478">
        <v>0</v>
      </c>
      <c r="H111" s="555"/>
      <c r="I111" s="468"/>
      <c r="J111" s="468"/>
      <c r="K111" s="468"/>
    </row>
    <row r="112" spans="1:12" ht="12.75" customHeight="1" x14ac:dyDescent="0.2">
      <c r="A112" s="463" t="s">
        <v>878</v>
      </c>
      <c r="B112" s="470">
        <v>2200</v>
      </c>
      <c r="C112" s="478">
        <v>646194</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839</v>
      </c>
      <c r="B114" s="1728" t="s">
        <v>590</v>
      </c>
      <c r="C114" s="1729">
        <f>SUM(C111:C113)</f>
        <v>2586029</v>
      </c>
      <c r="D114" s="1729">
        <f>SUM(D111:D113)</f>
        <v>0</v>
      </c>
      <c r="E114" s="555" t="s">
        <v>1231</v>
      </c>
      <c r="F114" s="1729">
        <f>SUM(F111:F113)</f>
        <v>0</v>
      </c>
      <c r="G114" s="1729">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0</v>
      </c>
      <c r="D117" s="478">
        <v>0</v>
      </c>
      <c r="E117" s="478">
        <v>0</v>
      </c>
      <c r="F117" s="478">
        <v>0</v>
      </c>
      <c r="G117" s="478">
        <v>0</v>
      </c>
      <c r="H117" s="478">
        <v>0</v>
      </c>
      <c r="I117" s="468"/>
      <c r="J117" s="478">
        <v>0</v>
      </c>
      <c r="K117" s="478">
        <v>0</v>
      </c>
    </row>
    <row r="118" spans="1:11" ht="12.75" customHeight="1" x14ac:dyDescent="0.2">
      <c r="A118" s="463" t="s">
        <v>1902</v>
      </c>
      <c r="B118" s="556">
        <v>3002</v>
      </c>
      <c r="C118" s="478">
        <v>0</v>
      </c>
      <c r="D118" s="478">
        <v>0</v>
      </c>
      <c r="E118" s="478">
        <v>0</v>
      </c>
      <c r="F118" s="478">
        <v>0</v>
      </c>
      <c r="G118" s="478">
        <v>0</v>
      </c>
      <c r="H118" s="478">
        <v>0</v>
      </c>
      <c r="I118" s="468"/>
      <c r="J118" s="478">
        <v>0</v>
      </c>
      <c r="K118" s="478">
        <v>0</v>
      </c>
    </row>
    <row r="119" spans="1:11" ht="12.75" customHeight="1" x14ac:dyDescent="0.2">
      <c r="A119" s="463" t="s">
        <v>1903</v>
      </c>
      <c r="B119" s="556">
        <v>3005</v>
      </c>
      <c r="C119" s="478">
        <v>0</v>
      </c>
      <c r="D119" s="478">
        <v>0</v>
      </c>
      <c r="E119" s="478">
        <v>0</v>
      </c>
      <c r="F119" s="478">
        <v>0</v>
      </c>
      <c r="G119" s="478">
        <v>0</v>
      </c>
      <c r="H119" s="478">
        <v>0</v>
      </c>
      <c r="I119" s="468"/>
      <c r="J119" s="478">
        <v>0</v>
      </c>
      <c r="K119" s="478">
        <v>0</v>
      </c>
    </row>
    <row r="120" spans="1:11" x14ac:dyDescent="0.2">
      <c r="A120" s="1507" t="s">
        <v>1904</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509</v>
      </c>
      <c r="B121" s="1730"/>
      <c r="C121" s="1718">
        <f t="shared" ref="C121:H121" si="5">SUM(C117:C120)</f>
        <v>0</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0</v>
      </c>
      <c r="D124" s="555"/>
      <c r="E124" s="468"/>
      <c r="F124" s="478">
        <v>0</v>
      </c>
      <c r="G124" s="468"/>
      <c r="H124" s="468"/>
      <c r="I124" s="468"/>
      <c r="J124" s="468"/>
      <c r="K124" s="468"/>
    </row>
    <row r="125" spans="1:11" ht="12.75" customHeight="1" x14ac:dyDescent="0.2">
      <c r="A125" s="463" t="s">
        <v>1521</v>
      </c>
      <c r="B125" s="556">
        <v>3105</v>
      </c>
      <c r="C125" s="478">
        <v>0</v>
      </c>
      <c r="D125" s="555"/>
      <c r="E125" s="468"/>
      <c r="F125" s="478">
        <v>0</v>
      </c>
      <c r="G125" s="468"/>
      <c r="H125" s="468"/>
      <c r="I125" s="468"/>
      <c r="J125" s="468"/>
      <c r="K125" s="468"/>
    </row>
    <row r="126" spans="1:11" ht="12.75" customHeight="1" x14ac:dyDescent="0.2">
      <c r="A126" s="463" t="s">
        <v>922</v>
      </c>
      <c r="B126" s="556">
        <v>3110</v>
      </c>
      <c r="C126" s="478">
        <v>0</v>
      </c>
      <c r="D126" s="478">
        <v>0</v>
      </c>
      <c r="E126" s="468"/>
      <c r="F126" s="478">
        <v>0</v>
      </c>
      <c r="G126" s="468"/>
      <c r="H126" s="468"/>
      <c r="I126" s="468"/>
      <c r="J126" s="468"/>
      <c r="K126" s="468"/>
    </row>
    <row r="127" spans="1:11" ht="12.75" customHeight="1" x14ac:dyDescent="0.2">
      <c r="A127" s="463" t="s">
        <v>107</v>
      </c>
      <c r="B127" s="556">
        <v>3120</v>
      </c>
      <c r="C127" s="478">
        <v>0</v>
      </c>
      <c r="D127" s="555"/>
      <c r="E127" s="468"/>
      <c r="F127" s="478">
        <v>0</v>
      </c>
      <c r="G127" s="468"/>
      <c r="H127" s="468"/>
      <c r="I127" s="468"/>
      <c r="J127" s="468"/>
      <c r="K127" s="468"/>
    </row>
    <row r="128" spans="1:11" ht="12.75" customHeight="1" x14ac:dyDescent="0.2">
      <c r="A128" s="463" t="s">
        <v>1522</v>
      </c>
      <c r="B128" s="556">
        <v>3130</v>
      </c>
      <c r="C128" s="478">
        <v>0</v>
      </c>
      <c r="D128" s="555"/>
      <c r="E128" s="468"/>
      <c r="F128" s="478">
        <v>0</v>
      </c>
      <c r="G128" s="468"/>
      <c r="H128" s="468"/>
      <c r="I128" s="468"/>
      <c r="J128" s="468"/>
      <c r="K128" s="468"/>
    </row>
    <row r="129" spans="1:11" ht="12.75" customHeight="1" x14ac:dyDescent="0.2">
      <c r="A129" s="463" t="s">
        <v>139</v>
      </c>
      <c r="B129" s="556">
        <v>3145</v>
      </c>
      <c r="C129" s="478">
        <v>0</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1092</v>
      </c>
      <c r="B131" s="1731"/>
      <c r="C131" s="1718">
        <f>SUM(C124:C130)</f>
        <v>0</v>
      </c>
      <c r="D131" s="1718">
        <f>SUM(D124:D130)</f>
        <v>0</v>
      </c>
      <c r="E131" s="469" t="s">
        <v>1231</v>
      </c>
      <c r="F131" s="1718">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195845</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624</v>
      </c>
      <c r="B140" s="1731"/>
      <c r="C140" s="1718">
        <f>SUM(C133:C139)</f>
        <v>195845</v>
      </c>
      <c r="D140" s="1718">
        <f>SUM(D133:D139)</f>
        <v>0</v>
      </c>
      <c r="E140" s="555" t="s">
        <v>1231</v>
      </c>
      <c r="F140" s="474"/>
      <c r="G140" s="1718">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0</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9" t="s">
        <v>414</v>
      </c>
      <c r="B144" s="1731"/>
      <c r="C144" s="1699">
        <f>SUM(C142:C143)</f>
        <v>0</v>
      </c>
      <c r="D144" s="468"/>
      <c r="E144" s="505"/>
      <c r="F144" s="468"/>
      <c r="G144" s="1732">
        <f>SUM(G142:G143)</f>
        <v>0</v>
      </c>
      <c r="H144" s="468"/>
      <c r="I144" s="468"/>
      <c r="J144" s="468"/>
      <c r="K144" s="468"/>
    </row>
    <row r="145" spans="1:11" s="202" customFormat="1" ht="12.75" customHeight="1" thickTop="1" x14ac:dyDescent="0.2">
      <c r="A145" s="1509" t="s">
        <v>1116</v>
      </c>
      <c r="B145" s="562">
        <v>3360</v>
      </c>
      <c r="C145" s="563">
        <v>0</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0</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0</v>
      </c>
      <c r="G151" s="546">
        <v>0</v>
      </c>
      <c r="H151" s="468"/>
      <c r="I151" s="468"/>
      <c r="J151" s="468"/>
      <c r="K151" s="468"/>
    </row>
    <row r="152" spans="1:11" ht="12.75" customHeight="1" x14ac:dyDescent="0.2">
      <c r="A152" s="463" t="s">
        <v>1117</v>
      </c>
      <c r="B152" s="556">
        <v>3510</v>
      </c>
      <c r="C152" s="546">
        <v>0</v>
      </c>
      <c r="D152" s="546">
        <v>0</v>
      </c>
      <c r="E152" s="555"/>
      <c r="F152" s="546">
        <v>0</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0</v>
      </c>
      <c r="G154" s="1718">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0</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0</v>
      </c>
      <c r="D171" s="573">
        <v>0</v>
      </c>
      <c r="E171" s="574">
        <v>0</v>
      </c>
      <c r="F171" s="574">
        <v>0</v>
      </c>
      <c r="G171" s="574">
        <v>0</v>
      </c>
      <c r="H171" s="573">
        <v>0</v>
      </c>
      <c r="I171" s="574">
        <v>0</v>
      </c>
      <c r="J171" s="574">
        <v>0</v>
      </c>
      <c r="K171" s="574">
        <v>0</v>
      </c>
    </row>
    <row r="172" spans="1:11" ht="12.75" customHeight="1" thickTop="1" thickBot="1" x14ac:dyDescent="0.25">
      <c r="A172" s="2152" t="s">
        <v>418</v>
      </c>
      <c r="B172" s="2153"/>
      <c r="C172" s="1733">
        <f t="shared" ref="C172:K172" si="6">SUM(C131,C140,C144,C145:C149,C154,C155:C170,C171)</f>
        <v>195845</v>
      </c>
      <c r="D172" s="1733">
        <f t="shared" si="6"/>
        <v>0</v>
      </c>
      <c r="E172" s="1733">
        <f t="shared" si="6"/>
        <v>0</v>
      </c>
      <c r="F172" s="1733">
        <f t="shared" si="6"/>
        <v>0</v>
      </c>
      <c r="G172" s="1733">
        <f t="shared" si="6"/>
        <v>0</v>
      </c>
      <c r="H172" s="1733">
        <f t="shared" si="6"/>
        <v>0</v>
      </c>
      <c r="I172" s="1733">
        <f t="shared" si="6"/>
        <v>0</v>
      </c>
      <c r="J172" s="1733">
        <f t="shared" si="6"/>
        <v>0</v>
      </c>
      <c r="K172" s="1714">
        <f t="shared" si="6"/>
        <v>0</v>
      </c>
    </row>
    <row r="173" spans="1:11" ht="12.75" customHeight="1" thickTop="1" thickBot="1" x14ac:dyDescent="0.25">
      <c r="A173" s="1719" t="s">
        <v>419</v>
      </c>
      <c r="B173" s="1725" t="s">
        <v>596</v>
      </c>
      <c r="C173" s="1726">
        <f>SUM(C121,C172)</f>
        <v>195845</v>
      </c>
      <c r="D173" s="1726">
        <f>SUM(D121,D172)</f>
        <v>0</v>
      </c>
      <c r="E173" s="1726">
        <f>SUM(E121,E172)</f>
        <v>0</v>
      </c>
      <c r="F173" s="1726">
        <f t="shared" ref="F173:K173" si="7">SUM(F121,F172)</f>
        <v>0</v>
      </c>
      <c r="G173" s="1726">
        <f t="shared" si="7"/>
        <v>0</v>
      </c>
      <c r="H173" s="1726">
        <f t="shared" si="7"/>
        <v>0</v>
      </c>
      <c r="I173" s="1726">
        <f t="shared" si="7"/>
        <v>0</v>
      </c>
      <c r="J173" s="1726">
        <f t="shared" si="7"/>
        <v>0</v>
      </c>
      <c r="K173" s="1713">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154" t="s">
        <v>1572</v>
      </c>
      <c r="B175" s="2155"/>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158" t="s">
        <v>1764</v>
      </c>
      <c r="B178" s="2159"/>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162" t="s">
        <v>1763</v>
      </c>
      <c r="B179" s="2163"/>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160" t="s">
        <v>818</v>
      </c>
      <c r="B184" s="2161"/>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156" t="s">
        <v>1906</v>
      </c>
      <c r="B185" s="2157"/>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9" t="s">
        <v>1697</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0</v>
      </c>
      <c r="D194" s="468"/>
      <c r="E194" s="555"/>
      <c r="F194" s="468"/>
      <c r="G194" s="478">
        <v>0</v>
      </c>
      <c r="H194" s="468"/>
      <c r="I194" s="468"/>
      <c r="J194" s="468"/>
      <c r="K194" s="468"/>
    </row>
    <row r="195" spans="1:11" ht="12.75" customHeight="1" x14ac:dyDescent="0.2">
      <c r="A195" s="463" t="s">
        <v>1107</v>
      </c>
      <c r="B195" s="470">
        <v>4215</v>
      </c>
      <c r="C195" s="478">
        <v>0</v>
      </c>
      <c r="D195" s="468"/>
      <c r="E195" s="555"/>
      <c r="F195" s="468"/>
      <c r="G195" s="478">
        <v>0</v>
      </c>
      <c r="H195" s="468"/>
      <c r="I195" s="468"/>
      <c r="J195" s="468"/>
      <c r="K195" s="468"/>
    </row>
    <row r="196" spans="1:11" ht="12.75" customHeight="1" x14ac:dyDescent="0.2">
      <c r="A196" s="463" t="s">
        <v>1119</v>
      </c>
      <c r="B196" s="470">
        <v>4220</v>
      </c>
      <c r="C196" s="478">
        <v>0</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569</v>
      </c>
      <c r="B201" s="1720"/>
      <c r="C201" s="1699">
        <f>SUM(C193:C200)</f>
        <v>0</v>
      </c>
      <c r="D201" s="468"/>
      <c r="E201" s="468"/>
      <c r="F201" s="468"/>
      <c r="G201" s="1699">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0</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420</v>
      </c>
      <c r="B211" s="1720"/>
      <c r="C211" s="1718">
        <f>SUM(C203:C210)</f>
        <v>0</v>
      </c>
      <c r="D211" s="1718">
        <f>SUM(D203:D210)</f>
        <v>0</v>
      </c>
      <c r="E211" s="468"/>
      <c r="F211" s="1718">
        <f>SUM(F203:F210)</f>
        <v>0</v>
      </c>
      <c r="G211" s="1718">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0</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944</v>
      </c>
      <c r="B216" s="1720"/>
      <c r="C216" s="1718">
        <f>SUM(C213:C215)</f>
        <v>0</v>
      </c>
      <c r="D216" s="1718">
        <f>SUM(D213:D215)</f>
        <v>0</v>
      </c>
      <c r="E216" s="468" t="s">
        <v>1231</v>
      </c>
      <c r="F216" s="1718">
        <f>SUM(F213:F215)</f>
        <v>0</v>
      </c>
      <c r="G216" s="1718">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0</v>
      </c>
      <c r="D218" s="478">
        <v>0</v>
      </c>
      <c r="E218" s="468"/>
      <c r="F218" s="478">
        <v>0</v>
      </c>
      <c r="G218" s="478">
        <v>0</v>
      </c>
      <c r="H218" s="468"/>
      <c r="I218" s="468"/>
      <c r="J218" s="468"/>
      <c r="K218" s="468"/>
    </row>
    <row r="219" spans="1:11" ht="12.75" customHeight="1" x14ac:dyDescent="0.2">
      <c r="A219" s="463" t="s">
        <v>1113</v>
      </c>
      <c r="B219" s="470">
        <v>4605</v>
      </c>
      <c r="C219" s="478">
        <v>0</v>
      </c>
      <c r="D219" s="478">
        <v>0</v>
      </c>
      <c r="E219" s="468"/>
      <c r="F219" s="478">
        <v>0</v>
      </c>
      <c r="G219" s="478">
        <v>0</v>
      </c>
      <c r="H219" s="468"/>
      <c r="I219" s="468"/>
      <c r="J219" s="468"/>
      <c r="K219" s="468"/>
    </row>
    <row r="220" spans="1:11" ht="12.75" customHeight="1" x14ac:dyDescent="0.2">
      <c r="A220" s="463" t="s">
        <v>1529</v>
      </c>
      <c r="B220" s="552">
        <v>4620</v>
      </c>
      <c r="C220" s="478">
        <v>0</v>
      </c>
      <c r="D220" s="478">
        <v>0</v>
      </c>
      <c r="E220" s="468"/>
      <c r="F220" s="478">
        <v>0</v>
      </c>
      <c r="G220" s="478">
        <v>0</v>
      </c>
      <c r="H220" s="468"/>
      <c r="I220" s="468"/>
      <c r="J220" s="468"/>
      <c r="K220" s="468"/>
    </row>
    <row r="221" spans="1:11" ht="12.75" customHeight="1" x14ac:dyDescent="0.2">
      <c r="A221" s="463" t="s">
        <v>1114</v>
      </c>
      <c r="B221" s="470">
        <v>4625</v>
      </c>
      <c r="C221" s="478">
        <v>0</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467</v>
      </c>
      <c r="B224" s="1720"/>
      <c r="C224" s="1718">
        <f>SUM(C218:C223)</f>
        <v>0</v>
      </c>
      <c r="D224" s="1718">
        <f>SUM(D218:D223)</f>
        <v>0</v>
      </c>
      <c r="E224" s="468"/>
      <c r="F224" s="1718">
        <f>SUM(F218:F223)</f>
        <v>0</v>
      </c>
      <c r="G224" s="1718">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101000</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1145</v>
      </c>
      <c r="B228" s="1735"/>
      <c r="C228" s="1718">
        <f>SUM(C226:C227)</f>
        <v>101000</v>
      </c>
      <c r="D228" s="1718">
        <f>SUM(D226:D227)</f>
        <v>0</v>
      </c>
      <c r="E228" s="468"/>
      <c r="F228" s="468"/>
      <c r="G228" s="1718">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798</v>
      </c>
      <c r="B259" s="1737"/>
      <c r="C259" s="1729">
        <f t="shared" ref="C259:H259" si="9">SUM(C230:C258)</f>
        <v>0</v>
      </c>
      <c r="D259" s="1718">
        <f t="shared" si="9"/>
        <v>0</v>
      </c>
      <c r="E259" s="1718">
        <f t="shared" si="9"/>
        <v>0</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0</v>
      </c>
      <c r="D263" s="468"/>
      <c r="E263" s="468"/>
      <c r="F263" s="572">
        <v>0</v>
      </c>
      <c r="G263" s="582">
        <v>0</v>
      </c>
      <c r="H263" s="468"/>
      <c r="I263" s="468"/>
      <c r="J263" s="468"/>
      <c r="K263" s="468"/>
    </row>
    <row r="264" spans="1:11" ht="12.75" customHeight="1" thickTop="1" thickBot="1" x14ac:dyDescent="0.25">
      <c r="A264" s="463" t="s">
        <v>1532</v>
      </c>
      <c r="B264" s="470">
        <v>4909</v>
      </c>
      <c r="C264" s="582">
        <v>0</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0</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0</v>
      </c>
      <c r="D270" s="582">
        <v>0</v>
      </c>
      <c r="E270" s="468"/>
      <c r="F270" s="582">
        <v>0</v>
      </c>
      <c r="G270" s="582">
        <v>0</v>
      </c>
      <c r="H270" s="468"/>
      <c r="I270" s="468"/>
      <c r="J270" s="468"/>
      <c r="K270" s="468"/>
    </row>
    <row r="271" spans="1:11" ht="12.75" customHeight="1" thickTop="1" thickBot="1" x14ac:dyDescent="0.25">
      <c r="A271" s="463" t="s">
        <v>395</v>
      </c>
      <c r="B271" s="470">
        <v>4992</v>
      </c>
      <c r="C271" s="582">
        <v>0</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719" t="s">
        <v>1765</v>
      </c>
      <c r="B273" s="1738"/>
      <c r="C273" s="1726">
        <f t="shared" ref="C273:H273" si="10">SUM(C191,C201,C211,C216,C224,C228,C229,C259:C272)</f>
        <v>101000</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1147</v>
      </c>
      <c r="B274" s="1740" t="s">
        <v>915</v>
      </c>
      <c r="C274" s="1726">
        <f>SUM(C178,C184,C273)</f>
        <v>101000</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2882990</v>
      </c>
      <c r="D275" s="1726">
        <f t="shared" si="12"/>
        <v>0</v>
      </c>
      <c r="E275" s="1726">
        <f t="shared" si="12"/>
        <v>0</v>
      </c>
      <c r="F275" s="1726">
        <f t="shared" si="12"/>
        <v>0</v>
      </c>
      <c r="G275" s="1726">
        <f t="shared" si="12"/>
        <v>0</v>
      </c>
      <c r="H275" s="1726">
        <f t="shared" si="12"/>
        <v>0</v>
      </c>
      <c r="I275" s="1726">
        <f t="shared" si="12"/>
        <v>0</v>
      </c>
      <c r="J275" s="1726">
        <f t="shared" si="12"/>
        <v>0</v>
      </c>
      <c r="K275" s="1713">
        <f t="shared" si="12"/>
        <v>0</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7" activePane="bottomLeft" state="frozen"/>
      <selection sqref="A1:M1"/>
      <selection pane="bottomLeft" sqref="A1:M2"/>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132" t="s">
        <v>1905</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166"/>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172" t="s">
        <v>315</v>
      </c>
      <c r="B3" s="2173"/>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0</v>
      </c>
      <c r="D5" s="466">
        <v>0</v>
      </c>
      <c r="E5" s="466">
        <v>0</v>
      </c>
      <c r="F5" s="466">
        <v>0</v>
      </c>
      <c r="G5" s="466">
        <v>0</v>
      </c>
      <c r="H5" s="466">
        <v>0</v>
      </c>
      <c r="I5" s="466">
        <v>0</v>
      </c>
      <c r="J5" s="466">
        <v>0</v>
      </c>
      <c r="K5" s="1682">
        <f>SUM(C5:J5)</f>
        <v>0</v>
      </c>
      <c r="L5" s="466">
        <v>0</v>
      </c>
    </row>
    <row r="6" spans="1:14" x14ac:dyDescent="0.2">
      <c r="A6" s="1515" t="s">
        <v>1508</v>
      </c>
      <c r="B6" s="606" t="s">
        <v>1506</v>
      </c>
      <c r="C6" s="474"/>
      <c r="D6" s="474"/>
      <c r="E6" s="466">
        <v>0</v>
      </c>
      <c r="F6" s="474"/>
      <c r="G6" s="474"/>
      <c r="H6" s="474"/>
      <c r="I6" s="474"/>
      <c r="J6" s="474"/>
      <c r="K6" s="1682">
        <f>SUM(C6,E6)</f>
        <v>0</v>
      </c>
      <c r="L6" s="466">
        <v>0</v>
      </c>
    </row>
    <row r="7" spans="1:14" x14ac:dyDescent="0.2">
      <c r="A7" s="1515" t="s">
        <v>165</v>
      </c>
      <c r="B7" s="606" t="s">
        <v>1024</v>
      </c>
      <c r="C7" s="466">
        <v>0</v>
      </c>
      <c r="D7" s="466">
        <v>0</v>
      </c>
      <c r="E7" s="466">
        <v>0</v>
      </c>
      <c r="F7" s="466">
        <v>0</v>
      </c>
      <c r="G7" s="466">
        <v>0</v>
      </c>
      <c r="H7" s="466">
        <v>0</v>
      </c>
      <c r="I7" s="466">
        <v>0</v>
      </c>
      <c r="J7" s="466">
        <v>0</v>
      </c>
      <c r="K7" s="1682">
        <f t="shared" ref="K7:K32" si="0">SUM(C7:J7)</f>
        <v>0</v>
      </c>
      <c r="L7" s="466">
        <v>0</v>
      </c>
    </row>
    <row r="8" spans="1:14" x14ac:dyDescent="0.2">
      <c r="A8" s="1515" t="s">
        <v>166</v>
      </c>
      <c r="B8" s="606">
        <v>1200</v>
      </c>
      <c r="C8" s="466">
        <v>0</v>
      </c>
      <c r="D8" s="466">
        <v>0</v>
      </c>
      <c r="E8" s="466">
        <v>0</v>
      </c>
      <c r="F8" s="466">
        <v>0</v>
      </c>
      <c r="G8" s="466">
        <v>0</v>
      </c>
      <c r="H8" s="466">
        <v>0</v>
      </c>
      <c r="I8" s="466">
        <v>0</v>
      </c>
      <c r="J8" s="466">
        <v>0</v>
      </c>
      <c r="K8" s="1682">
        <f t="shared" si="0"/>
        <v>0</v>
      </c>
      <c r="L8" s="466">
        <v>0</v>
      </c>
    </row>
    <row r="9" spans="1:14" x14ac:dyDescent="0.2">
      <c r="A9" s="1515" t="s">
        <v>745</v>
      </c>
      <c r="B9" s="606" t="s">
        <v>1025</v>
      </c>
      <c r="C9" s="466">
        <v>0</v>
      </c>
      <c r="D9" s="466">
        <v>0</v>
      </c>
      <c r="E9" s="466">
        <v>0</v>
      </c>
      <c r="F9" s="466">
        <v>0</v>
      </c>
      <c r="G9" s="466">
        <v>0</v>
      </c>
      <c r="H9" s="466">
        <v>0</v>
      </c>
      <c r="I9" s="466">
        <v>0</v>
      </c>
      <c r="J9" s="466">
        <v>0</v>
      </c>
      <c r="K9" s="1682">
        <f t="shared" si="0"/>
        <v>0</v>
      </c>
      <c r="L9" s="466">
        <v>0</v>
      </c>
    </row>
    <row r="10" spans="1:14" x14ac:dyDescent="0.2">
      <c r="A10" s="1515" t="s">
        <v>746</v>
      </c>
      <c r="B10" s="606">
        <v>1250</v>
      </c>
      <c r="C10" s="466">
        <v>0</v>
      </c>
      <c r="D10" s="466">
        <v>0</v>
      </c>
      <c r="E10" s="466">
        <v>0</v>
      </c>
      <c r="F10" s="466">
        <v>0</v>
      </c>
      <c r="G10" s="466">
        <v>0</v>
      </c>
      <c r="H10" s="466">
        <v>0</v>
      </c>
      <c r="I10" s="466">
        <v>0</v>
      </c>
      <c r="J10" s="466">
        <v>0</v>
      </c>
      <c r="K10" s="1682">
        <f t="shared" si="0"/>
        <v>0</v>
      </c>
      <c r="L10" s="466">
        <v>0</v>
      </c>
    </row>
    <row r="11" spans="1:14" x14ac:dyDescent="0.2">
      <c r="A11" s="1515" t="s">
        <v>1192</v>
      </c>
      <c r="B11" s="606" t="s">
        <v>163</v>
      </c>
      <c r="C11" s="466">
        <v>0</v>
      </c>
      <c r="D11" s="466">
        <v>0</v>
      </c>
      <c r="E11" s="466">
        <v>0</v>
      </c>
      <c r="F11" s="466">
        <v>0</v>
      </c>
      <c r="G11" s="466">
        <v>0</v>
      </c>
      <c r="H11" s="466">
        <v>0</v>
      </c>
      <c r="I11" s="466">
        <v>0</v>
      </c>
      <c r="J11" s="466">
        <v>0</v>
      </c>
      <c r="K11" s="1682">
        <f t="shared" si="0"/>
        <v>0</v>
      </c>
      <c r="L11" s="466">
        <v>0</v>
      </c>
    </row>
    <row r="12" spans="1:14" x14ac:dyDescent="0.2">
      <c r="A12" s="1515" t="s">
        <v>1019</v>
      </c>
      <c r="B12" s="606">
        <v>1300</v>
      </c>
      <c r="C12" s="466">
        <v>0</v>
      </c>
      <c r="D12" s="466">
        <v>0</v>
      </c>
      <c r="E12" s="466">
        <v>0</v>
      </c>
      <c r="F12" s="466">
        <v>0</v>
      </c>
      <c r="G12" s="466">
        <v>0</v>
      </c>
      <c r="H12" s="466">
        <v>0</v>
      </c>
      <c r="I12" s="466">
        <v>0</v>
      </c>
      <c r="J12" s="466">
        <v>0</v>
      </c>
      <c r="K12" s="1682">
        <f t="shared" si="0"/>
        <v>0</v>
      </c>
      <c r="L12" s="466">
        <v>0</v>
      </c>
    </row>
    <row r="13" spans="1:14" x14ac:dyDescent="0.2">
      <c r="A13" s="1515" t="s">
        <v>747</v>
      </c>
      <c r="B13" s="606">
        <v>1400</v>
      </c>
      <c r="C13" s="466">
        <v>0</v>
      </c>
      <c r="D13" s="466">
        <v>0</v>
      </c>
      <c r="E13" s="466">
        <v>0</v>
      </c>
      <c r="F13" s="466">
        <v>0</v>
      </c>
      <c r="G13" s="466">
        <v>0</v>
      </c>
      <c r="H13" s="466">
        <v>0</v>
      </c>
      <c r="I13" s="466">
        <v>0</v>
      </c>
      <c r="J13" s="466">
        <v>0</v>
      </c>
      <c r="K13" s="1682">
        <f t="shared" si="0"/>
        <v>0</v>
      </c>
      <c r="L13" s="466">
        <v>0</v>
      </c>
    </row>
    <row r="14" spans="1:14" x14ac:dyDescent="0.2">
      <c r="A14" s="1515" t="s">
        <v>1020</v>
      </c>
      <c r="B14" s="606">
        <v>1500</v>
      </c>
      <c r="C14" s="466">
        <v>0</v>
      </c>
      <c r="D14" s="466">
        <v>0</v>
      </c>
      <c r="E14" s="466">
        <v>0</v>
      </c>
      <c r="F14" s="466">
        <v>0</v>
      </c>
      <c r="G14" s="466">
        <v>0</v>
      </c>
      <c r="H14" s="466">
        <v>0</v>
      </c>
      <c r="I14" s="466">
        <v>0</v>
      </c>
      <c r="J14" s="466">
        <v>0</v>
      </c>
      <c r="K14" s="1682">
        <f t="shared" si="0"/>
        <v>0</v>
      </c>
      <c r="L14" s="466">
        <v>0</v>
      </c>
    </row>
    <row r="15" spans="1:14" x14ac:dyDescent="0.2">
      <c r="A15" s="1515" t="s">
        <v>1021</v>
      </c>
      <c r="B15" s="606">
        <v>1600</v>
      </c>
      <c r="C15" s="466">
        <v>0</v>
      </c>
      <c r="D15" s="466">
        <v>0</v>
      </c>
      <c r="E15" s="466">
        <v>0</v>
      </c>
      <c r="F15" s="466">
        <v>0</v>
      </c>
      <c r="G15" s="466">
        <v>0</v>
      </c>
      <c r="H15" s="466">
        <v>0</v>
      </c>
      <c r="I15" s="466">
        <v>0</v>
      </c>
      <c r="J15" s="466">
        <v>0</v>
      </c>
      <c r="K15" s="1682">
        <f t="shared" si="0"/>
        <v>0</v>
      </c>
      <c r="L15" s="466">
        <v>0</v>
      </c>
    </row>
    <row r="16" spans="1:14" x14ac:dyDescent="0.2">
      <c r="A16" s="1515" t="s">
        <v>1044</v>
      </c>
      <c r="B16" s="606" t="s">
        <v>444</v>
      </c>
      <c r="C16" s="466">
        <v>0</v>
      </c>
      <c r="D16" s="466">
        <v>0</v>
      </c>
      <c r="E16" s="466">
        <v>0</v>
      </c>
      <c r="F16" s="466">
        <v>0</v>
      </c>
      <c r="G16" s="466">
        <v>0</v>
      </c>
      <c r="H16" s="466">
        <v>0</v>
      </c>
      <c r="I16" s="466">
        <v>0</v>
      </c>
      <c r="J16" s="466">
        <v>0</v>
      </c>
      <c r="K16" s="1682">
        <f t="shared" si="0"/>
        <v>0</v>
      </c>
      <c r="L16" s="466">
        <v>0</v>
      </c>
    </row>
    <row r="17" spans="1:12" x14ac:dyDescent="0.2">
      <c r="A17" s="1515" t="s">
        <v>748</v>
      </c>
      <c r="B17" s="606" t="s">
        <v>164</v>
      </c>
      <c r="C17" s="466">
        <v>0</v>
      </c>
      <c r="D17" s="466">
        <v>0</v>
      </c>
      <c r="E17" s="466">
        <v>0</v>
      </c>
      <c r="F17" s="466">
        <v>0</v>
      </c>
      <c r="G17" s="466">
        <v>0</v>
      </c>
      <c r="H17" s="466">
        <v>0</v>
      </c>
      <c r="I17" s="466">
        <v>0</v>
      </c>
      <c r="J17" s="466">
        <v>0</v>
      </c>
      <c r="K17" s="1682">
        <f t="shared" si="0"/>
        <v>0</v>
      </c>
      <c r="L17" s="466">
        <v>0</v>
      </c>
    </row>
    <row r="18" spans="1:12" x14ac:dyDescent="0.2">
      <c r="A18" s="1515" t="s">
        <v>1148</v>
      </c>
      <c r="B18" s="606">
        <v>1800</v>
      </c>
      <c r="C18" s="466">
        <v>0</v>
      </c>
      <c r="D18" s="466">
        <v>0</v>
      </c>
      <c r="E18" s="466">
        <v>0</v>
      </c>
      <c r="F18" s="466">
        <v>0</v>
      </c>
      <c r="G18" s="466">
        <v>0</v>
      </c>
      <c r="H18" s="466">
        <v>0</v>
      </c>
      <c r="I18" s="466">
        <v>0</v>
      </c>
      <c r="J18" s="466">
        <v>0</v>
      </c>
      <c r="K18" s="1682">
        <f t="shared" si="0"/>
        <v>0</v>
      </c>
      <c r="L18" s="466">
        <v>0</v>
      </c>
    </row>
    <row r="19" spans="1:12" x14ac:dyDescent="0.2">
      <c r="A19" s="1515" t="s">
        <v>136</v>
      </c>
      <c r="B19" s="606">
        <v>1900</v>
      </c>
      <c r="C19" s="466">
        <v>0</v>
      </c>
      <c r="D19" s="466">
        <v>0</v>
      </c>
      <c r="E19" s="466">
        <v>0</v>
      </c>
      <c r="F19" s="466">
        <v>0</v>
      </c>
      <c r="G19" s="466">
        <v>0</v>
      </c>
      <c r="H19" s="466">
        <v>0</v>
      </c>
      <c r="I19" s="466">
        <v>0</v>
      </c>
      <c r="J19" s="466">
        <v>0</v>
      </c>
      <c r="K19" s="1682">
        <f t="shared" si="0"/>
        <v>0</v>
      </c>
      <c r="L19" s="466">
        <v>0</v>
      </c>
    </row>
    <row r="20" spans="1:12" x14ac:dyDescent="0.2">
      <c r="A20" s="1516" t="s">
        <v>762</v>
      </c>
      <c r="B20" s="594" t="s">
        <v>749</v>
      </c>
      <c r="C20" s="474"/>
      <c r="D20" s="474"/>
      <c r="E20" s="474"/>
      <c r="F20" s="474"/>
      <c r="G20" s="474"/>
      <c r="H20" s="466">
        <v>0</v>
      </c>
      <c r="I20" s="608"/>
      <c r="J20" s="473"/>
      <c r="K20" s="1682">
        <f t="shared" si="0"/>
        <v>0</v>
      </c>
      <c r="L20" s="466">
        <v>0</v>
      </c>
    </row>
    <row r="21" spans="1:12" x14ac:dyDescent="0.2">
      <c r="A21" s="1516" t="s">
        <v>763</v>
      </c>
      <c r="B21" s="594" t="s">
        <v>750</v>
      </c>
      <c r="C21" s="474"/>
      <c r="D21" s="474"/>
      <c r="E21" s="474"/>
      <c r="F21" s="474"/>
      <c r="G21" s="474"/>
      <c r="H21" s="466">
        <v>0</v>
      </c>
      <c r="I21" s="608"/>
      <c r="J21" s="474"/>
      <c r="K21" s="1682">
        <f t="shared" si="0"/>
        <v>0</v>
      </c>
      <c r="L21" s="466">
        <v>0</v>
      </c>
    </row>
    <row r="22" spans="1:12" x14ac:dyDescent="0.2">
      <c r="A22" s="1516" t="s">
        <v>764</v>
      </c>
      <c r="B22" s="594" t="s">
        <v>751</v>
      </c>
      <c r="C22" s="474"/>
      <c r="D22" s="474"/>
      <c r="E22" s="474"/>
      <c r="F22" s="474"/>
      <c r="G22" s="474"/>
      <c r="H22" s="466">
        <v>0</v>
      </c>
      <c r="I22" s="608"/>
      <c r="J22" s="474"/>
      <c r="K22" s="1682">
        <f t="shared" si="0"/>
        <v>0</v>
      </c>
      <c r="L22" s="466">
        <v>0</v>
      </c>
    </row>
    <row r="23" spans="1:12" x14ac:dyDescent="0.2">
      <c r="A23" s="1516" t="s">
        <v>765</v>
      </c>
      <c r="B23" s="594" t="s">
        <v>752</v>
      </c>
      <c r="C23" s="474"/>
      <c r="D23" s="474"/>
      <c r="E23" s="474"/>
      <c r="F23" s="474"/>
      <c r="G23" s="474"/>
      <c r="H23" s="466">
        <v>0</v>
      </c>
      <c r="I23" s="608"/>
      <c r="J23" s="474"/>
      <c r="K23" s="1682">
        <f t="shared" si="0"/>
        <v>0</v>
      </c>
      <c r="L23" s="466">
        <v>0</v>
      </c>
    </row>
    <row r="24" spans="1:12" ht="12.75" customHeight="1" x14ac:dyDescent="0.2">
      <c r="A24" s="1516" t="s">
        <v>766</v>
      </c>
      <c r="B24" s="594" t="s">
        <v>753</v>
      </c>
      <c r="C24" s="474"/>
      <c r="D24" s="474"/>
      <c r="E24" s="474"/>
      <c r="F24" s="474"/>
      <c r="G24" s="474"/>
      <c r="H24" s="466">
        <v>0</v>
      </c>
      <c r="I24" s="608"/>
      <c r="J24" s="474"/>
      <c r="K24" s="1682">
        <f t="shared" si="0"/>
        <v>0</v>
      </c>
      <c r="L24" s="466">
        <v>0</v>
      </c>
    </row>
    <row r="25" spans="1:12" ht="12.75" customHeight="1" x14ac:dyDescent="0.2">
      <c r="A25" s="1516" t="s">
        <v>835</v>
      </c>
      <c r="B25" s="594" t="s">
        <v>754</v>
      </c>
      <c r="C25" s="474"/>
      <c r="D25" s="474"/>
      <c r="E25" s="474"/>
      <c r="F25" s="474"/>
      <c r="G25" s="474"/>
      <c r="H25" s="466">
        <v>0</v>
      </c>
      <c r="I25" s="608"/>
      <c r="J25" s="474"/>
      <c r="K25" s="1682">
        <f t="shared" si="0"/>
        <v>0</v>
      </c>
      <c r="L25" s="466">
        <v>0</v>
      </c>
    </row>
    <row r="26" spans="1:12" x14ac:dyDescent="0.2">
      <c r="A26" s="1516" t="s">
        <v>643</v>
      </c>
      <c r="B26" s="594" t="s">
        <v>755</v>
      </c>
      <c r="C26" s="474"/>
      <c r="D26" s="474"/>
      <c r="E26" s="474"/>
      <c r="F26" s="474"/>
      <c r="G26" s="474"/>
      <c r="H26" s="466">
        <v>0</v>
      </c>
      <c r="I26" s="608"/>
      <c r="J26" s="474"/>
      <c r="K26" s="1682">
        <f t="shared" si="0"/>
        <v>0</v>
      </c>
      <c r="L26" s="466">
        <v>0</v>
      </c>
    </row>
    <row r="27" spans="1:12" x14ac:dyDescent="0.2">
      <c r="A27" s="1516" t="s">
        <v>644</v>
      </c>
      <c r="B27" s="594" t="s">
        <v>756</v>
      </c>
      <c r="C27" s="474"/>
      <c r="D27" s="474"/>
      <c r="E27" s="474"/>
      <c r="F27" s="474"/>
      <c r="G27" s="474"/>
      <c r="H27" s="466">
        <v>0</v>
      </c>
      <c r="I27" s="608"/>
      <c r="J27" s="474"/>
      <c r="K27" s="1682">
        <f t="shared" si="0"/>
        <v>0</v>
      </c>
      <c r="L27" s="466">
        <v>0</v>
      </c>
    </row>
    <row r="28" spans="1:12" x14ac:dyDescent="0.2">
      <c r="A28" s="1516" t="s">
        <v>152</v>
      </c>
      <c r="B28" s="594" t="s">
        <v>757</v>
      </c>
      <c r="C28" s="474"/>
      <c r="D28" s="474"/>
      <c r="E28" s="474"/>
      <c r="F28" s="474"/>
      <c r="G28" s="474"/>
      <c r="H28" s="466">
        <v>0</v>
      </c>
      <c r="I28" s="608"/>
      <c r="J28" s="474"/>
      <c r="K28" s="1682">
        <f t="shared" si="0"/>
        <v>0</v>
      </c>
      <c r="L28" s="466">
        <v>0</v>
      </c>
    </row>
    <row r="29" spans="1:12" x14ac:dyDescent="0.2">
      <c r="A29" s="1516" t="s">
        <v>153</v>
      </c>
      <c r="B29" s="594" t="s">
        <v>758</v>
      </c>
      <c r="C29" s="474"/>
      <c r="D29" s="474"/>
      <c r="E29" s="474"/>
      <c r="F29" s="474"/>
      <c r="G29" s="474"/>
      <c r="H29" s="466">
        <v>0</v>
      </c>
      <c r="I29" s="608"/>
      <c r="J29" s="474"/>
      <c r="K29" s="1682">
        <f t="shared" si="0"/>
        <v>0</v>
      </c>
      <c r="L29" s="466">
        <v>0</v>
      </c>
    </row>
    <row r="30" spans="1:12" x14ac:dyDescent="0.2">
      <c r="A30" s="1516" t="s">
        <v>154</v>
      </c>
      <c r="B30" s="594" t="s">
        <v>759</v>
      </c>
      <c r="C30" s="474"/>
      <c r="D30" s="474"/>
      <c r="E30" s="474"/>
      <c r="F30" s="474"/>
      <c r="G30" s="474"/>
      <c r="H30" s="466">
        <v>0</v>
      </c>
      <c r="I30" s="608"/>
      <c r="J30" s="474"/>
      <c r="K30" s="1682">
        <f t="shared" si="0"/>
        <v>0</v>
      </c>
      <c r="L30" s="466">
        <v>0</v>
      </c>
    </row>
    <row r="31" spans="1:12" x14ac:dyDescent="0.2">
      <c r="A31" s="1516" t="s">
        <v>155</v>
      </c>
      <c r="B31" s="594" t="s">
        <v>760</v>
      </c>
      <c r="C31" s="474"/>
      <c r="D31" s="474"/>
      <c r="E31" s="474"/>
      <c r="F31" s="474"/>
      <c r="G31" s="474"/>
      <c r="H31" s="466">
        <v>0</v>
      </c>
      <c r="I31" s="608"/>
      <c r="J31" s="474"/>
      <c r="K31" s="1682">
        <f t="shared" si="0"/>
        <v>0</v>
      </c>
      <c r="L31" s="466">
        <v>0</v>
      </c>
    </row>
    <row r="32" spans="1:12" x14ac:dyDescent="0.2">
      <c r="A32" s="1517" t="s">
        <v>1191</v>
      </c>
      <c r="B32" s="606" t="s">
        <v>761</v>
      </c>
      <c r="C32" s="474"/>
      <c r="D32" s="474"/>
      <c r="E32" s="474"/>
      <c r="F32" s="474"/>
      <c r="G32" s="474"/>
      <c r="H32" s="466">
        <v>0</v>
      </c>
      <c r="I32" s="608"/>
      <c r="J32" s="477"/>
      <c r="K32" s="1682">
        <f t="shared" si="0"/>
        <v>0</v>
      </c>
      <c r="L32" s="466">
        <v>0</v>
      </c>
    </row>
    <row r="33" spans="1:14" ht="12.75" customHeight="1" thickBot="1" x14ac:dyDescent="0.25">
      <c r="A33" s="1679" t="s">
        <v>1767</v>
      </c>
      <c r="B33" s="1680" t="s">
        <v>591</v>
      </c>
      <c r="C33" s="1681">
        <f>SUM(C5:C32)</f>
        <v>0</v>
      </c>
      <c r="D33" s="1681">
        <f t="shared" ref="D33:L33" si="1">SUM(D5:D32)</f>
        <v>0</v>
      </c>
      <c r="E33" s="1681">
        <f t="shared" si="1"/>
        <v>0</v>
      </c>
      <c r="F33" s="1681">
        <f t="shared" si="1"/>
        <v>0</v>
      </c>
      <c r="G33" s="1681">
        <f t="shared" si="1"/>
        <v>0</v>
      </c>
      <c r="H33" s="1681">
        <f t="shared" si="1"/>
        <v>0</v>
      </c>
      <c r="I33" s="1681">
        <f t="shared" si="1"/>
        <v>0</v>
      </c>
      <c r="J33" s="1681">
        <f t="shared" si="1"/>
        <v>0</v>
      </c>
      <c r="K33" s="1681">
        <f t="shared" si="1"/>
        <v>0</v>
      </c>
      <c r="L33" s="1681">
        <f t="shared" si="1"/>
        <v>0</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0</v>
      </c>
      <c r="D36" s="466">
        <v>0</v>
      </c>
      <c r="E36" s="466">
        <v>0</v>
      </c>
      <c r="F36" s="466">
        <v>0</v>
      </c>
      <c r="G36" s="466">
        <v>0</v>
      </c>
      <c r="H36" s="466">
        <v>0</v>
      </c>
      <c r="I36" s="466">
        <v>0</v>
      </c>
      <c r="J36" s="466">
        <v>0</v>
      </c>
      <c r="K36" s="1682">
        <f t="shared" ref="K36:K41" si="2">SUM(C36:J36)</f>
        <v>0</v>
      </c>
      <c r="L36" s="466">
        <v>0</v>
      </c>
    </row>
    <row r="37" spans="1:14" x14ac:dyDescent="0.2">
      <c r="A37" s="1515" t="s">
        <v>1151</v>
      </c>
      <c r="B37" s="606">
        <v>2120</v>
      </c>
      <c r="C37" s="466">
        <v>0</v>
      </c>
      <c r="D37" s="466">
        <v>0</v>
      </c>
      <c r="E37" s="466">
        <v>32493</v>
      </c>
      <c r="F37" s="466">
        <v>2360</v>
      </c>
      <c r="G37" s="466">
        <v>0</v>
      </c>
      <c r="H37" s="466">
        <v>0</v>
      </c>
      <c r="I37" s="466">
        <v>0</v>
      </c>
      <c r="J37" s="466">
        <v>0</v>
      </c>
      <c r="K37" s="1682">
        <f t="shared" si="2"/>
        <v>34853</v>
      </c>
      <c r="L37" s="466">
        <v>42856</v>
      </c>
    </row>
    <row r="38" spans="1:14" x14ac:dyDescent="0.2">
      <c r="A38" s="1515" t="s">
        <v>207</v>
      </c>
      <c r="B38" s="606">
        <v>2130</v>
      </c>
      <c r="C38" s="466">
        <v>0</v>
      </c>
      <c r="D38" s="466">
        <v>0</v>
      </c>
      <c r="E38" s="466">
        <v>0</v>
      </c>
      <c r="F38" s="466">
        <v>0</v>
      </c>
      <c r="G38" s="466">
        <v>0</v>
      </c>
      <c r="H38" s="466">
        <v>0</v>
      </c>
      <c r="I38" s="466">
        <v>0</v>
      </c>
      <c r="J38" s="466">
        <v>0</v>
      </c>
      <c r="K38" s="1682">
        <f t="shared" si="2"/>
        <v>0</v>
      </c>
      <c r="L38" s="466">
        <v>0</v>
      </c>
    </row>
    <row r="39" spans="1:14" x14ac:dyDescent="0.2">
      <c r="A39" s="1515" t="s">
        <v>208</v>
      </c>
      <c r="B39" s="606">
        <v>2140</v>
      </c>
      <c r="C39" s="466">
        <v>0</v>
      </c>
      <c r="D39" s="466">
        <v>0</v>
      </c>
      <c r="E39" s="466">
        <v>0</v>
      </c>
      <c r="F39" s="466">
        <v>0</v>
      </c>
      <c r="G39" s="466">
        <v>0</v>
      </c>
      <c r="H39" s="466">
        <v>0</v>
      </c>
      <c r="I39" s="466">
        <v>0</v>
      </c>
      <c r="J39" s="466">
        <v>0</v>
      </c>
      <c r="K39" s="1682">
        <f t="shared" si="2"/>
        <v>0</v>
      </c>
      <c r="L39" s="466">
        <v>0</v>
      </c>
    </row>
    <row r="40" spans="1:14" x14ac:dyDescent="0.2">
      <c r="A40" s="1515" t="s">
        <v>209</v>
      </c>
      <c r="B40" s="606">
        <v>2150</v>
      </c>
      <c r="C40" s="466">
        <v>0</v>
      </c>
      <c r="D40" s="466">
        <v>0</v>
      </c>
      <c r="E40" s="466">
        <v>0</v>
      </c>
      <c r="F40" s="466">
        <v>0</v>
      </c>
      <c r="G40" s="466">
        <v>0</v>
      </c>
      <c r="H40" s="466">
        <v>0</v>
      </c>
      <c r="I40" s="466">
        <v>0</v>
      </c>
      <c r="J40" s="466">
        <v>0</v>
      </c>
      <c r="K40" s="1682">
        <f t="shared" si="2"/>
        <v>0</v>
      </c>
      <c r="L40" s="466">
        <v>0</v>
      </c>
    </row>
    <row r="41" spans="1:14" x14ac:dyDescent="0.2">
      <c r="A41" s="1515" t="s">
        <v>1768</v>
      </c>
      <c r="B41" s="606">
        <v>2190</v>
      </c>
      <c r="C41" s="466">
        <v>0</v>
      </c>
      <c r="D41" s="466">
        <v>0</v>
      </c>
      <c r="E41" s="466">
        <v>0</v>
      </c>
      <c r="F41" s="466">
        <v>0</v>
      </c>
      <c r="G41" s="466">
        <v>0</v>
      </c>
      <c r="H41" s="466">
        <v>0</v>
      </c>
      <c r="I41" s="466">
        <v>0</v>
      </c>
      <c r="J41" s="466">
        <v>0</v>
      </c>
      <c r="K41" s="1682">
        <f t="shared" si="2"/>
        <v>0</v>
      </c>
      <c r="L41" s="466">
        <v>0</v>
      </c>
    </row>
    <row r="42" spans="1:14" ht="12.75" customHeight="1" thickBot="1" x14ac:dyDescent="0.25">
      <c r="A42" s="1679" t="s">
        <v>581</v>
      </c>
      <c r="B42" s="1680" t="s">
        <v>740</v>
      </c>
      <c r="C42" s="1681">
        <f>SUM(C36:C41)</f>
        <v>0</v>
      </c>
      <c r="D42" s="1681">
        <f t="shared" ref="D42:L42" si="3">SUM(D36:D41)</f>
        <v>0</v>
      </c>
      <c r="E42" s="1681">
        <f t="shared" si="3"/>
        <v>32493</v>
      </c>
      <c r="F42" s="1681">
        <f t="shared" si="3"/>
        <v>2360</v>
      </c>
      <c r="G42" s="1681">
        <f t="shared" si="3"/>
        <v>0</v>
      </c>
      <c r="H42" s="1681">
        <f t="shared" si="3"/>
        <v>0</v>
      </c>
      <c r="I42" s="1681">
        <f t="shared" si="3"/>
        <v>0</v>
      </c>
      <c r="J42" s="1681">
        <f t="shared" si="3"/>
        <v>0</v>
      </c>
      <c r="K42" s="1681">
        <f t="shared" si="3"/>
        <v>34853</v>
      </c>
      <c r="L42" s="1681">
        <f t="shared" si="3"/>
        <v>42856</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0</v>
      </c>
      <c r="D44" s="466">
        <v>0</v>
      </c>
      <c r="E44" s="466">
        <v>176233</v>
      </c>
      <c r="F44" s="466">
        <v>12080</v>
      </c>
      <c r="G44" s="466">
        <v>0</v>
      </c>
      <c r="H44" s="466">
        <v>0</v>
      </c>
      <c r="I44" s="466">
        <v>0</v>
      </c>
      <c r="J44" s="466">
        <v>0</v>
      </c>
      <c r="K44" s="1683">
        <f>SUM(C44:J44)</f>
        <v>188313</v>
      </c>
      <c r="L44" s="466">
        <v>135624</v>
      </c>
    </row>
    <row r="45" spans="1:14" x14ac:dyDescent="0.2">
      <c r="A45" s="1515" t="s">
        <v>869</v>
      </c>
      <c r="B45" s="606">
        <v>2220</v>
      </c>
      <c r="C45" s="466">
        <v>0</v>
      </c>
      <c r="D45" s="466">
        <v>0</v>
      </c>
      <c r="E45" s="466">
        <v>0</v>
      </c>
      <c r="F45" s="466">
        <v>0</v>
      </c>
      <c r="G45" s="466">
        <v>0</v>
      </c>
      <c r="H45" s="466">
        <v>0</v>
      </c>
      <c r="I45" s="466">
        <v>0</v>
      </c>
      <c r="J45" s="466">
        <v>0</v>
      </c>
      <c r="K45" s="1683">
        <f>SUM(C45:J45)</f>
        <v>0</v>
      </c>
      <c r="L45" s="466">
        <v>0</v>
      </c>
    </row>
    <row r="46" spans="1:14" x14ac:dyDescent="0.2">
      <c r="A46" s="1515" t="s">
        <v>870</v>
      </c>
      <c r="B46" s="606">
        <v>2230</v>
      </c>
      <c r="C46" s="466">
        <v>0</v>
      </c>
      <c r="D46" s="466">
        <v>0</v>
      </c>
      <c r="E46" s="466">
        <v>0</v>
      </c>
      <c r="F46" s="466">
        <v>0</v>
      </c>
      <c r="G46" s="466">
        <v>0</v>
      </c>
      <c r="H46" s="466">
        <v>0</v>
      </c>
      <c r="I46" s="466">
        <v>0</v>
      </c>
      <c r="J46" s="466">
        <v>0</v>
      </c>
      <c r="K46" s="1683">
        <f>SUM(C46:J46)</f>
        <v>0</v>
      </c>
      <c r="L46" s="466">
        <v>0</v>
      </c>
    </row>
    <row r="47" spans="1:14" ht="12.75" customHeight="1" thickBot="1" x14ac:dyDescent="0.25">
      <c r="A47" s="1679" t="s">
        <v>582</v>
      </c>
      <c r="B47" s="1680" t="s">
        <v>32</v>
      </c>
      <c r="C47" s="1681">
        <f>SUM(C44:C46)</f>
        <v>0</v>
      </c>
      <c r="D47" s="1681">
        <f t="shared" ref="D47:K47" si="4">SUM(D44:D46)</f>
        <v>0</v>
      </c>
      <c r="E47" s="1681">
        <f t="shared" si="4"/>
        <v>176233</v>
      </c>
      <c r="F47" s="1681">
        <f t="shared" si="4"/>
        <v>12080</v>
      </c>
      <c r="G47" s="1681">
        <f t="shared" si="4"/>
        <v>0</v>
      </c>
      <c r="H47" s="1681">
        <f t="shared" si="4"/>
        <v>0</v>
      </c>
      <c r="I47" s="1681">
        <f t="shared" si="4"/>
        <v>0</v>
      </c>
      <c r="J47" s="1681">
        <f t="shared" si="4"/>
        <v>0</v>
      </c>
      <c r="K47" s="1681">
        <f t="shared" si="4"/>
        <v>188313</v>
      </c>
      <c r="L47" s="1681">
        <f>SUM(L44:L46)</f>
        <v>135624</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0</v>
      </c>
      <c r="D49" s="466">
        <v>0</v>
      </c>
      <c r="E49" s="466">
        <v>0</v>
      </c>
      <c r="F49" s="466">
        <v>0</v>
      </c>
      <c r="G49" s="466">
        <v>0</v>
      </c>
      <c r="H49" s="466">
        <v>0</v>
      </c>
      <c r="I49" s="466">
        <v>0</v>
      </c>
      <c r="J49" s="466">
        <v>0</v>
      </c>
      <c r="K49" s="1683">
        <f>SUM(C49:J49)</f>
        <v>0</v>
      </c>
      <c r="L49" s="466">
        <v>0</v>
      </c>
    </row>
    <row r="50" spans="1:14" x14ac:dyDescent="0.2">
      <c r="A50" s="1515" t="s">
        <v>872</v>
      </c>
      <c r="B50" s="606">
        <v>2320</v>
      </c>
      <c r="C50" s="466">
        <v>0</v>
      </c>
      <c r="D50" s="466">
        <v>0</v>
      </c>
      <c r="E50" s="466">
        <v>0</v>
      </c>
      <c r="F50" s="466">
        <v>0</v>
      </c>
      <c r="G50" s="466">
        <v>0</v>
      </c>
      <c r="H50" s="466">
        <v>0</v>
      </c>
      <c r="I50" s="466">
        <v>0</v>
      </c>
      <c r="J50" s="466">
        <v>0</v>
      </c>
      <c r="K50" s="1683">
        <f>SUM(C50:J50)</f>
        <v>0</v>
      </c>
      <c r="L50" s="466">
        <v>0</v>
      </c>
    </row>
    <row r="51" spans="1:14" x14ac:dyDescent="0.2">
      <c r="A51" s="1515" t="s">
        <v>44</v>
      </c>
      <c r="B51" s="606">
        <v>2330</v>
      </c>
      <c r="C51" s="466">
        <v>0</v>
      </c>
      <c r="D51" s="466">
        <v>0</v>
      </c>
      <c r="E51" s="466">
        <v>129497</v>
      </c>
      <c r="F51" s="466">
        <v>6623</v>
      </c>
      <c r="G51" s="466">
        <v>0</v>
      </c>
      <c r="H51" s="466">
        <v>0</v>
      </c>
      <c r="I51" s="466">
        <v>0</v>
      </c>
      <c r="J51" s="466">
        <v>0</v>
      </c>
      <c r="K51" s="1683">
        <f>SUM(C51:J51)</f>
        <v>136120</v>
      </c>
      <c r="L51" s="466">
        <v>128379</v>
      </c>
    </row>
    <row r="52" spans="1:14" ht="22.5" x14ac:dyDescent="0.2">
      <c r="A52" s="1516" t="s">
        <v>316</v>
      </c>
      <c r="B52" s="619" t="s">
        <v>384</v>
      </c>
      <c r="C52" s="466">
        <v>0</v>
      </c>
      <c r="D52" s="466">
        <v>0</v>
      </c>
      <c r="E52" s="466">
        <v>0</v>
      </c>
      <c r="F52" s="466">
        <v>0</v>
      </c>
      <c r="G52" s="466">
        <v>0</v>
      </c>
      <c r="H52" s="466">
        <v>0</v>
      </c>
      <c r="I52" s="466">
        <v>0</v>
      </c>
      <c r="J52" s="466">
        <v>0</v>
      </c>
      <c r="K52" s="1683">
        <f>SUM(C52:J52)</f>
        <v>0</v>
      </c>
      <c r="L52" s="466">
        <v>0</v>
      </c>
    </row>
    <row r="53" spans="1:14" ht="12.75" customHeight="1" thickBot="1" x14ac:dyDescent="0.25">
      <c r="A53" s="1679" t="s">
        <v>741</v>
      </c>
      <c r="B53" s="1680" t="s">
        <v>33</v>
      </c>
      <c r="C53" s="1681">
        <f>SUM(C49:C52)</f>
        <v>0</v>
      </c>
      <c r="D53" s="1681">
        <f t="shared" ref="D53:L53" si="5">SUM(D49:D52)</f>
        <v>0</v>
      </c>
      <c r="E53" s="1681">
        <f t="shared" si="5"/>
        <v>129497</v>
      </c>
      <c r="F53" s="1681">
        <f t="shared" si="5"/>
        <v>6623</v>
      </c>
      <c r="G53" s="1681">
        <f t="shared" si="5"/>
        <v>0</v>
      </c>
      <c r="H53" s="1681">
        <f t="shared" si="5"/>
        <v>0</v>
      </c>
      <c r="I53" s="1681">
        <f t="shared" si="5"/>
        <v>0</v>
      </c>
      <c r="J53" s="1681">
        <f t="shared" si="5"/>
        <v>0</v>
      </c>
      <c r="K53" s="1681">
        <f t="shared" si="5"/>
        <v>136120</v>
      </c>
      <c r="L53" s="1681">
        <f t="shared" si="5"/>
        <v>128379</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0</v>
      </c>
      <c r="D55" s="466">
        <v>0</v>
      </c>
      <c r="E55" s="466">
        <v>0</v>
      </c>
      <c r="F55" s="466">
        <v>0</v>
      </c>
      <c r="G55" s="466">
        <v>0</v>
      </c>
      <c r="H55" s="466">
        <v>0</v>
      </c>
      <c r="I55" s="466">
        <v>0</v>
      </c>
      <c r="J55" s="466">
        <v>0</v>
      </c>
      <c r="K55" s="1683">
        <f>SUM(C55:J55)</f>
        <v>0</v>
      </c>
      <c r="L55" s="466">
        <v>0</v>
      </c>
    </row>
    <row r="56" spans="1:14" ht="12.75" customHeight="1" x14ac:dyDescent="0.2">
      <c r="A56" s="1519" t="s">
        <v>394</v>
      </c>
      <c r="B56" s="620">
        <v>2490</v>
      </c>
      <c r="C56" s="466">
        <v>0</v>
      </c>
      <c r="D56" s="466">
        <v>0</v>
      </c>
      <c r="E56" s="466">
        <v>0</v>
      </c>
      <c r="F56" s="466">
        <v>0</v>
      </c>
      <c r="G56" s="466">
        <v>0</v>
      </c>
      <c r="H56" s="466">
        <v>0</v>
      </c>
      <c r="I56" s="466">
        <v>0</v>
      </c>
      <c r="J56" s="466">
        <v>0</v>
      </c>
      <c r="K56" s="1683">
        <f>SUM(C56:J56)</f>
        <v>0</v>
      </c>
      <c r="L56" s="466">
        <v>0</v>
      </c>
    </row>
    <row r="57" spans="1:14" s="343" customFormat="1" ht="12.75" customHeight="1" thickBot="1" x14ac:dyDescent="0.25">
      <c r="A57" s="1679" t="s">
        <v>281</v>
      </c>
      <c r="B57" s="1684" t="s">
        <v>34</v>
      </c>
      <c r="C57" s="1685">
        <f>SUM(C55:C56)</f>
        <v>0</v>
      </c>
      <c r="D57" s="1685">
        <f t="shared" ref="D57:K57" si="6">SUM(D55:D56)</f>
        <v>0</v>
      </c>
      <c r="E57" s="1685">
        <f t="shared" si="6"/>
        <v>0</v>
      </c>
      <c r="F57" s="1685">
        <f t="shared" si="6"/>
        <v>0</v>
      </c>
      <c r="G57" s="1685">
        <f t="shared" si="6"/>
        <v>0</v>
      </c>
      <c r="H57" s="1685">
        <f t="shared" si="6"/>
        <v>0</v>
      </c>
      <c r="I57" s="1685">
        <f t="shared" si="6"/>
        <v>0</v>
      </c>
      <c r="J57" s="1685">
        <f t="shared" si="6"/>
        <v>0</v>
      </c>
      <c r="K57" s="1685">
        <f t="shared" si="6"/>
        <v>0</v>
      </c>
      <c r="L57" s="1681">
        <f>SUM(L55:L56)</f>
        <v>0</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0</v>
      </c>
      <c r="D59" s="466">
        <v>0</v>
      </c>
      <c r="E59" s="466">
        <v>0</v>
      </c>
      <c r="F59" s="466">
        <v>0</v>
      </c>
      <c r="G59" s="466">
        <v>0</v>
      </c>
      <c r="H59" s="466">
        <v>0</v>
      </c>
      <c r="I59" s="466">
        <v>0</v>
      </c>
      <c r="J59" s="466">
        <v>0</v>
      </c>
      <c r="K59" s="1683">
        <f t="shared" ref="K59:K64" si="7">SUM(C59:J59)</f>
        <v>0</v>
      </c>
      <c r="L59" s="466">
        <v>0</v>
      </c>
      <c r="M59" s="601"/>
      <c r="N59" s="601"/>
    </row>
    <row r="60" spans="1:14" s="343" customFormat="1" x14ac:dyDescent="0.2">
      <c r="A60" s="1515" t="s">
        <v>483</v>
      </c>
      <c r="B60" s="606">
        <v>2520</v>
      </c>
      <c r="C60" s="466">
        <v>0</v>
      </c>
      <c r="D60" s="466">
        <v>0</v>
      </c>
      <c r="E60" s="466">
        <v>0</v>
      </c>
      <c r="F60" s="466">
        <v>0</v>
      </c>
      <c r="G60" s="466">
        <v>0</v>
      </c>
      <c r="H60" s="466">
        <v>0</v>
      </c>
      <c r="I60" s="466">
        <v>0</v>
      </c>
      <c r="J60" s="466">
        <v>0</v>
      </c>
      <c r="K60" s="1683">
        <f t="shared" si="7"/>
        <v>0</v>
      </c>
      <c r="L60" s="466">
        <v>0</v>
      </c>
      <c r="M60" s="601"/>
      <c r="N60" s="601"/>
    </row>
    <row r="61" spans="1:14" s="343" customFormat="1" x14ac:dyDescent="0.2">
      <c r="A61" s="1515" t="s">
        <v>206</v>
      </c>
      <c r="B61" s="606">
        <v>2540</v>
      </c>
      <c r="C61" s="466">
        <v>0</v>
      </c>
      <c r="D61" s="466">
        <v>0</v>
      </c>
      <c r="E61" s="466">
        <v>0</v>
      </c>
      <c r="F61" s="466">
        <v>0</v>
      </c>
      <c r="G61" s="466">
        <v>0</v>
      </c>
      <c r="H61" s="466">
        <v>0</v>
      </c>
      <c r="I61" s="466">
        <v>0</v>
      </c>
      <c r="J61" s="466">
        <v>0</v>
      </c>
      <c r="K61" s="1683">
        <f t="shared" si="7"/>
        <v>0</v>
      </c>
      <c r="L61" s="466">
        <v>0</v>
      </c>
      <c r="M61" s="601"/>
      <c r="N61" s="601"/>
    </row>
    <row r="62" spans="1:14" s="343" customFormat="1" x14ac:dyDescent="0.2">
      <c r="A62" s="1515" t="s">
        <v>1010</v>
      </c>
      <c r="B62" s="606">
        <v>2550</v>
      </c>
      <c r="C62" s="466">
        <v>0</v>
      </c>
      <c r="D62" s="466">
        <v>0</v>
      </c>
      <c r="E62" s="466">
        <v>0</v>
      </c>
      <c r="F62" s="466">
        <v>0</v>
      </c>
      <c r="G62" s="466">
        <v>0</v>
      </c>
      <c r="H62" s="466">
        <v>0</v>
      </c>
      <c r="I62" s="466">
        <v>0</v>
      </c>
      <c r="J62" s="466">
        <v>0</v>
      </c>
      <c r="K62" s="1683">
        <f t="shared" si="7"/>
        <v>0</v>
      </c>
      <c r="L62" s="466">
        <v>0</v>
      </c>
      <c r="M62" s="601"/>
      <c r="N62" s="601"/>
    </row>
    <row r="63" spans="1:14" s="601" customFormat="1" x14ac:dyDescent="0.2">
      <c r="A63" s="1515" t="s">
        <v>102</v>
      </c>
      <c r="B63" s="606">
        <v>2560</v>
      </c>
      <c r="C63" s="466">
        <v>0</v>
      </c>
      <c r="D63" s="466">
        <v>0</v>
      </c>
      <c r="E63" s="466">
        <v>0</v>
      </c>
      <c r="F63" s="466">
        <v>0</v>
      </c>
      <c r="G63" s="466">
        <v>0</v>
      </c>
      <c r="H63" s="466">
        <v>0</v>
      </c>
      <c r="I63" s="466">
        <v>0</v>
      </c>
      <c r="J63" s="466">
        <v>0</v>
      </c>
      <c r="K63" s="1683">
        <f t="shared" si="7"/>
        <v>0</v>
      </c>
      <c r="L63" s="466">
        <v>0</v>
      </c>
    </row>
    <row r="64" spans="1:14" s="601" customFormat="1" x14ac:dyDescent="0.2">
      <c r="A64" s="1520" t="s">
        <v>103</v>
      </c>
      <c r="B64" s="622">
        <v>2570</v>
      </c>
      <c r="C64" s="466">
        <v>0</v>
      </c>
      <c r="D64" s="466">
        <v>0</v>
      </c>
      <c r="E64" s="466">
        <v>0</v>
      </c>
      <c r="F64" s="466">
        <v>0</v>
      </c>
      <c r="G64" s="466">
        <v>0</v>
      </c>
      <c r="H64" s="466">
        <v>0</v>
      </c>
      <c r="I64" s="466">
        <v>0</v>
      </c>
      <c r="J64" s="466">
        <v>0</v>
      </c>
      <c r="K64" s="1683">
        <f t="shared" si="7"/>
        <v>0</v>
      </c>
      <c r="L64" s="466">
        <v>0</v>
      </c>
    </row>
    <row r="65" spans="1:14" s="343" customFormat="1" ht="12.75" customHeight="1" thickBot="1" x14ac:dyDescent="0.25">
      <c r="A65" s="1679" t="s">
        <v>743</v>
      </c>
      <c r="B65" s="1680" t="s">
        <v>35</v>
      </c>
      <c r="C65" s="1681">
        <f>SUM(C59:C64)</f>
        <v>0</v>
      </c>
      <c r="D65" s="1681">
        <f t="shared" ref="D65:L65" si="8">SUM(D59:D64)</f>
        <v>0</v>
      </c>
      <c r="E65" s="1681">
        <f t="shared" si="8"/>
        <v>0</v>
      </c>
      <c r="F65" s="1681">
        <f t="shared" si="8"/>
        <v>0</v>
      </c>
      <c r="G65" s="1681">
        <f t="shared" si="8"/>
        <v>0</v>
      </c>
      <c r="H65" s="1681">
        <f t="shared" si="8"/>
        <v>0</v>
      </c>
      <c r="I65" s="1681">
        <f t="shared" si="8"/>
        <v>0</v>
      </c>
      <c r="J65" s="1681">
        <f t="shared" si="8"/>
        <v>0</v>
      </c>
      <c r="K65" s="1681">
        <f t="shared" si="8"/>
        <v>0</v>
      </c>
      <c r="L65" s="1681">
        <f t="shared" si="8"/>
        <v>0</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0</v>
      </c>
      <c r="D67" s="466">
        <v>0</v>
      </c>
      <c r="E67" s="466">
        <v>0</v>
      </c>
      <c r="F67" s="466">
        <v>0</v>
      </c>
      <c r="G67" s="466">
        <v>0</v>
      </c>
      <c r="H67" s="466">
        <v>0</v>
      </c>
      <c r="I67" s="466">
        <v>0</v>
      </c>
      <c r="J67" s="466">
        <v>0</v>
      </c>
      <c r="K67" s="1683">
        <f>SUM(C67:J67)</f>
        <v>0</v>
      </c>
      <c r="L67" s="466">
        <v>0</v>
      </c>
      <c r="M67" s="601"/>
      <c r="N67" s="601"/>
    </row>
    <row r="68" spans="1:14" s="343" customFormat="1" x14ac:dyDescent="0.2">
      <c r="A68" s="1515" t="s">
        <v>628</v>
      </c>
      <c r="B68" s="606">
        <v>2620</v>
      </c>
      <c r="C68" s="466">
        <v>0</v>
      </c>
      <c r="D68" s="466">
        <v>0</v>
      </c>
      <c r="E68" s="466">
        <v>0</v>
      </c>
      <c r="F68" s="466">
        <v>0</v>
      </c>
      <c r="G68" s="466">
        <v>0</v>
      </c>
      <c r="H68" s="466">
        <v>0</v>
      </c>
      <c r="I68" s="466">
        <v>0</v>
      </c>
      <c r="J68" s="466">
        <v>0</v>
      </c>
      <c r="K68" s="1683">
        <f>SUM(C68:J68)</f>
        <v>0</v>
      </c>
      <c r="L68" s="466">
        <v>0</v>
      </c>
      <c r="M68" s="601"/>
      <c r="N68" s="601"/>
    </row>
    <row r="69" spans="1:14" s="343" customFormat="1" x14ac:dyDescent="0.2">
      <c r="A69" s="1515" t="s">
        <v>1121</v>
      </c>
      <c r="B69" s="606">
        <v>2630</v>
      </c>
      <c r="C69" s="466">
        <v>0</v>
      </c>
      <c r="D69" s="466">
        <v>0</v>
      </c>
      <c r="E69" s="466">
        <v>0</v>
      </c>
      <c r="F69" s="466">
        <v>0</v>
      </c>
      <c r="G69" s="466">
        <v>0</v>
      </c>
      <c r="H69" s="466">
        <v>0</v>
      </c>
      <c r="I69" s="466">
        <v>0</v>
      </c>
      <c r="J69" s="466">
        <v>0</v>
      </c>
      <c r="K69" s="1683">
        <f>SUM(C69:J69)</f>
        <v>0</v>
      </c>
      <c r="L69" s="466">
        <v>0</v>
      </c>
      <c r="M69" s="601"/>
      <c r="N69" s="601"/>
    </row>
    <row r="70" spans="1:14" s="343" customFormat="1" x14ac:dyDescent="0.2">
      <c r="A70" s="1515" t="s">
        <v>423</v>
      </c>
      <c r="B70" s="606">
        <v>2640</v>
      </c>
      <c r="C70" s="466">
        <v>0</v>
      </c>
      <c r="D70" s="466">
        <v>0</v>
      </c>
      <c r="E70" s="466">
        <v>0</v>
      </c>
      <c r="F70" s="466">
        <v>0</v>
      </c>
      <c r="G70" s="466">
        <v>0</v>
      </c>
      <c r="H70" s="466">
        <v>0</v>
      </c>
      <c r="I70" s="466">
        <v>0</v>
      </c>
      <c r="J70" s="466">
        <v>0</v>
      </c>
      <c r="K70" s="1683">
        <f>SUM(C70:J70)</f>
        <v>0</v>
      </c>
      <c r="L70" s="466">
        <v>0</v>
      </c>
      <c r="M70" s="601"/>
      <c r="N70" s="601"/>
    </row>
    <row r="71" spans="1:14" s="343" customFormat="1" x14ac:dyDescent="0.2">
      <c r="A71" s="1515" t="s">
        <v>424</v>
      </c>
      <c r="B71" s="606">
        <v>2660</v>
      </c>
      <c r="C71" s="466">
        <v>0</v>
      </c>
      <c r="D71" s="466">
        <v>0</v>
      </c>
      <c r="E71" s="466">
        <v>0</v>
      </c>
      <c r="F71" s="466">
        <v>0</v>
      </c>
      <c r="G71" s="466">
        <v>0</v>
      </c>
      <c r="H71" s="466">
        <v>0</v>
      </c>
      <c r="I71" s="466">
        <v>0</v>
      </c>
      <c r="J71" s="466">
        <v>0</v>
      </c>
      <c r="K71" s="1683">
        <f>SUM(C71:J71)</f>
        <v>0</v>
      </c>
      <c r="L71" s="466">
        <v>0</v>
      </c>
      <c r="M71" s="601"/>
      <c r="N71" s="601"/>
    </row>
    <row r="72" spans="1:14" s="343" customFormat="1" ht="12.75" customHeight="1" thickBot="1" x14ac:dyDescent="0.25">
      <c r="A72" s="1679" t="s">
        <v>37</v>
      </c>
      <c r="B72" s="1686" t="s">
        <v>36</v>
      </c>
      <c r="C72" s="1681">
        <f>SUM(C67:C71)</f>
        <v>0</v>
      </c>
      <c r="D72" s="1681">
        <f t="shared" ref="D72:K72" si="9">SUM(D67:D71)</f>
        <v>0</v>
      </c>
      <c r="E72" s="1681">
        <f t="shared" si="9"/>
        <v>0</v>
      </c>
      <c r="F72" s="1681">
        <f t="shared" si="9"/>
        <v>0</v>
      </c>
      <c r="G72" s="1681">
        <f t="shared" si="9"/>
        <v>0</v>
      </c>
      <c r="H72" s="1681">
        <f t="shared" si="9"/>
        <v>0</v>
      </c>
      <c r="I72" s="1681">
        <f t="shared" si="9"/>
        <v>0</v>
      </c>
      <c r="J72" s="1681">
        <f t="shared" si="9"/>
        <v>0</v>
      </c>
      <c r="K72" s="1681">
        <f t="shared" si="9"/>
        <v>0</v>
      </c>
      <c r="L72" s="1681">
        <f>SUM(L67:L71)</f>
        <v>0</v>
      </c>
      <c r="M72" s="601"/>
      <c r="N72" s="601"/>
    </row>
    <row r="73" spans="1:14" s="343" customFormat="1" ht="14.25" thickTop="1" thickBot="1" x14ac:dyDescent="0.25">
      <c r="A73" s="1521" t="s">
        <v>1037</v>
      </c>
      <c r="B73" s="624" t="s">
        <v>595</v>
      </c>
      <c r="C73" s="567">
        <v>0</v>
      </c>
      <c r="D73" s="567">
        <v>0</v>
      </c>
      <c r="E73" s="567">
        <v>0</v>
      </c>
      <c r="F73" s="567">
        <v>0</v>
      </c>
      <c r="G73" s="567">
        <v>0</v>
      </c>
      <c r="H73" s="567">
        <v>0</v>
      </c>
      <c r="I73" s="567">
        <v>0</v>
      </c>
      <c r="J73" s="567">
        <v>0</v>
      </c>
      <c r="K73" s="1681">
        <f>SUM(C73:J73)</f>
        <v>0</v>
      </c>
      <c r="L73" s="567">
        <v>0</v>
      </c>
      <c r="M73" s="601"/>
      <c r="N73" s="601"/>
    </row>
    <row r="74" spans="1:14" ht="12.75" customHeight="1" thickTop="1" thickBot="1" x14ac:dyDescent="0.25">
      <c r="A74" s="1679" t="s">
        <v>865</v>
      </c>
      <c r="B74" s="1687">
        <v>2000</v>
      </c>
      <c r="C74" s="1688">
        <f>SUM(C42,C47,C53,C57,C65,C72,C73)</f>
        <v>0</v>
      </c>
      <c r="D74" s="1688">
        <f t="shared" ref="D74:K74" si="10">SUM(D42,D47,D53,D57,D65,D72,D73)</f>
        <v>0</v>
      </c>
      <c r="E74" s="1688">
        <f t="shared" si="10"/>
        <v>338223</v>
      </c>
      <c r="F74" s="1688">
        <f t="shared" si="10"/>
        <v>21063</v>
      </c>
      <c r="G74" s="1688">
        <f t="shared" si="10"/>
        <v>0</v>
      </c>
      <c r="H74" s="1688">
        <f t="shared" si="10"/>
        <v>0</v>
      </c>
      <c r="I74" s="1688">
        <f t="shared" si="10"/>
        <v>0</v>
      </c>
      <c r="J74" s="1688">
        <f t="shared" si="10"/>
        <v>0</v>
      </c>
      <c r="K74" s="1688">
        <f t="shared" si="10"/>
        <v>359286</v>
      </c>
      <c r="L74" s="1688">
        <f>SUM(L42,L47,L53,L57,L65,L72,L73)</f>
        <v>306859</v>
      </c>
    </row>
    <row r="75" spans="1:14" s="259" customFormat="1" ht="15.75" customHeight="1" thickTop="1" thickBot="1" x14ac:dyDescent="0.25">
      <c r="A75" s="1621" t="s">
        <v>49</v>
      </c>
      <c r="B75" s="1622" t="s">
        <v>596</v>
      </c>
      <c r="C75" s="567">
        <v>0</v>
      </c>
      <c r="D75" s="567">
        <v>0</v>
      </c>
      <c r="E75" s="567">
        <v>0</v>
      </c>
      <c r="F75" s="567">
        <v>0</v>
      </c>
      <c r="G75" s="567">
        <v>0</v>
      </c>
      <c r="H75" s="567">
        <v>0</v>
      </c>
      <c r="I75" s="567">
        <v>0</v>
      </c>
      <c r="J75" s="567">
        <v>0</v>
      </c>
      <c r="K75" s="1681">
        <f>SUM(C75:J75)</f>
        <v>0</v>
      </c>
      <c r="L75" s="567">
        <v>0</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0</v>
      </c>
      <c r="F78" s="608"/>
      <c r="G78" s="608"/>
      <c r="H78" s="466">
        <v>0</v>
      </c>
      <c r="I78" s="474"/>
      <c r="J78" s="474"/>
      <c r="K78" s="1682">
        <f t="shared" ref="K78:K83" si="11">SUM(C78:J78)</f>
        <v>0</v>
      </c>
      <c r="L78" s="466">
        <v>0</v>
      </c>
    </row>
    <row r="79" spans="1:14" x14ac:dyDescent="0.2">
      <c r="A79" s="1515" t="s">
        <v>322</v>
      </c>
      <c r="B79" s="606">
        <v>4120</v>
      </c>
      <c r="C79" s="608"/>
      <c r="D79" s="608"/>
      <c r="E79" s="466">
        <v>0</v>
      </c>
      <c r="F79" s="608"/>
      <c r="G79" s="608"/>
      <c r="H79" s="466">
        <v>0</v>
      </c>
      <c r="I79" s="474"/>
      <c r="J79" s="474"/>
      <c r="K79" s="1682">
        <f t="shared" si="11"/>
        <v>0</v>
      </c>
      <c r="L79" s="466">
        <v>0</v>
      </c>
    </row>
    <row r="80" spans="1:14" x14ac:dyDescent="0.2">
      <c r="A80" s="1515" t="s">
        <v>323</v>
      </c>
      <c r="B80" s="606">
        <v>4130</v>
      </c>
      <c r="C80" s="608"/>
      <c r="D80" s="608"/>
      <c r="E80" s="466">
        <v>0</v>
      </c>
      <c r="F80" s="608"/>
      <c r="G80" s="608"/>
      <c r="H80" s="466">
        <v>0</v>
      </c>
      <c r="I80" s="474"/>
      <c r="J80" s="474"/>
      <c r="K80" s="1682">
        <f t="shared" si="11"/>
        <v>0</v>
      </c>
      <c r="L80" s="466">
        <v>0</v>
      </c>
    </row>
    <row r="81" spans="1:12" x14ac:dyDescent="0.2">
      <c r="A81" s="1515" t="s">
        <v>721</v>
      </c>
      <c r="B81" s="606">
        <v>4140</v>
      </c>
      <c r="C81" s="608"/>
      <c r="D81" s="608"/>
      <c r="E81" s="466">
        <v>0</v>
      </c>
      <c r="F81" s="608"/>
      <c r="G81" s="608"/>
      <c r="H81" s="466">
        <v>0</v>
      </c>
      <c r="I81" s="474"/>
      <c r="J81" s="474"/>
      <c r="K81" s="1682">
        <f t="shared" si="11"/>
        <v>0</v>
      </c>
      <c r="L81" s="466">
        <v>0</v>
      </c>
    </row>
    <row r="82" spans="1:12" x14ac:dyDescent="0.2">
      <c r="A82" s="1515" t="s">
        <v>88</v>
      </c>
      <c r="B82" s="606">
        <v>4170</v>
      </c>
      <c r="C82" s="608"/>
      <c r="D82" s="608"/>
      <c r="E82" s="466">
        <v>0</v>
      </c>
      <c r="F82" s="608"/>
      <c r="G82" s="608"/>
      <c r="H82" s="466">
        <v>0</v>
      </c>
      <c r="I82" s="474"/>
      <c r="J82" s="474"/>
      <c r="K82" s="1682">
        <f t="shared" si="11"/>
        <v>0</v>
      </c>
      <c r="L82" s="466">
        <v>0</v>
      </c>
    </row>
    <row r="83" spans="1:12" x14ac:dyDescent="0.2">
      <c r="A83" s="1519" t="s">
        <v>722</v>
      </c>
      <c r="B83" s="620">
        <v>4190</v>
      </c>
      <c r="C83" s="608"/>
      <c r="D83" s="608"/>
      <c r="E83" s="466">
        <v>0</v>
      </c>
      <c r="F83" s="608"/>
      <c r="G83" s="608"/>
      <c r="H83" s="466">
        <v>0</v>
      </c>
      <c r="I83" s="474"/>
      <c r="J83" s="474"/>
      <c r="K83" s="1682">
        <f t="shared" si="11"/>
        <v>0</v>
      </c>
      <c r="L83" s="466">
        <v>0</v>
      </c>
    </row>
    <row r="84" spans="1:12" ht="13.5" thickBot="1" x14ac:dyDescent="0.25">
      <c r="A84" s="1679" t="s">
        <v>1565</v>
      </c>
      <c r="B84" s="1689">
        <v>4100</v>
      </c>
      <c r="C84" s="608"/>
      <c r="D84" s="608"/>
      <c r="E84" s="1681">
        <f>SUM(E78:E83)</f>
        <v>0</v>
      </c>
      <c r="F84" s="608"/>
      <c r="G84" s="608"/>
      <c r="H84" s="1681">
        <f>SUM(H78:H83)</f>
        <v>0</v>
      </c>
      <c r="I84" s="474"/>
      <c r="J84" s="474"/>
      <c r="K84" s="1681">
        <f>SUM(K78:K83)</f>
        <v>0</v>
      </c>
      <c r="L84" s="1681">
        <f>SUM(L78:L83)</f>
        <v>0</v>
      </c>
    </row>
    <row r="85" spans="1:12" ht="12.75" customHeight="1" thickTop="1" thickBot="1" x14ac:dyDescent="0.25">
      <c r="A85" s="1522" t="s">
        <v>273</v>
      </c>
      <c r="B85" s="626">
        <v>4210</v>
      </c>
      <c r="C85" s="608"/>
      <c r="D85" s="608"/>
      <c r="E85" s="627"/>
      <c r="F85" s="608"/>
      <c r="G85" s="608"/>
      <c r="H85" s="531">
        <v>0</v>
      </c>
      <c r="I85" s="474"/>
      <c r="J85" s="474"/>
      <c r="K85" s="1688">
        <f>H85</f>
        <v>0</v>
      </c>
      <c r="L85" s="526">
        <v>0</v>
      </c>
    </row>
    <row r="86" spans="1:12" ht="12.75" customHeight="1" thickTop="1" thickBot="1" x14ac:dyDescent="0.25">
      <c r="A86" s="1523" t="s">
        <v>723</v>
      </c>
      <c r="B86" s="628">
        <v>4220</v>
      </c>
      <c r="C86" s="608"/>
      <c r="D86" s="608"/>
      <c r="E86" s="629"/>
      <c r="F86" s="608"/>
      <c r="G86" s="608"/>
      <c r="H86" s="467">
        <v>0</v>
      </c>
      <c r="I86" s="474"/>
      <c r="J86" s="474"/>
      <c r="K86" s="1688">
        <f t="shared" ref="K86:K98" si="12">H86</f>
        <v>0</v>
      </c>
      <c r="L86" s="526">
        <v>0</v>
      </c>
    </row>
    <row r="87" spans="1:12" ht="14.25" thickTop="1" thickBot="1" x14ac:dyDescent="0.25">
      <c r="A87" s="1524" t="s">
        <v>724</v>
      </c>
      <c r="B87" s="630">
        <v>4230</v>
      </c>
      <c r="C87" s="608"/>
      <c r="D87" s="608"/>
      <c r="E87" s="629"/>
      <c r="F87" s="608"/>
      <c r="G87" s="608"/>
      <c r="H87" s="467">
        <v>0</v>
      </c>
      <c r="I87" s="474"/>
      <c r="J87" s="474"/>
      <c r="K87" s="1688">
        <f t="shared" si="12"/>
        <v>0</v>
      </c>
      <c r="L87" s="526">
        <v>0</v>
      </c>
    </row>
    <row r="88" spans="1:12" ht="12.75" customHeight="1" thickTop="1" thickBot="1" x14ac:dyDescent="0.25">
      <c r="A88" s="1524" t="s">
        <v>789</v>
      </c>
      <c r="B88" s="630">
        <v>4240</v>
      </c>
      <c r="C88" s="608"/>
      <c r="D88" s="608"/>
      <c r="E88" s="629"/>
      <c r="F88" s="608"/>
      <c r="G88" s="608"/>
      <c r="H88" s="467">
        <v>0</v>
      </c>
      <c r="I88" s="474"/>
      <c r="J88" s="474"/>
      <c r="K88" s="1688">
        <f t="shared" si="12"/>
        <v>0</v>
      </c>
      <c r="L88" s="526">
        <v>0</v>
      </c>
    </row>
    <row r="89" spans="1:12" ht="12.75" customHeight="1" thickTop="1" thickBot="1" x14ac:dyDescent="0.25">
      <c r="A89" s="1524" t="s">
        <v>725</v>
      </c>
      <c r="B89" s="630">
        <v>4270</v>
      </c>
      <c r="C89" s="608"/>
      <c r="D89" s="608"/>
      <c r="E89" s="629"/>
      <c r="F89" s="608"/>
      <c r="G89" s="608"/>
      <c r="H89" s="467">
        <v>0</v>
      </c>
      <c r="I89" s="474"/>
      <c r="J89" s="474"/>
      <c r="K89" s="1688">
        <f t="shared" si="12"/>
        <v>0</v>
      </c>
      <c r="L89" s="526">
        <v>0</v>
      </c>
    </row>
    <row r="90" spans="1:12" ht="12.75" customHeight="1" thickTop="1" thickBot="1" x14ac:dyDescent="0.25">
      <c r="A90" s="1524" t="s">
        <v>710</v>
      </c>
      <c r="B90" s="630">
        <v>4280</v>
      </c>
      <c r="C90" s="608"/>
      <c r="D90" s="608"/>
      <c r="E90" s="629"/>
      <c r="F90" s="608"/>
      <c r="G90" s="608"/>
      <c r="H90" s="467">
        <v>0</v>
      </c>
      <c r="I90" s="474"/>
      <c r="J90" s="474"/>
      <c r="K90" s="1688">
        <f t="shared" si="12"/>
        <v>0</v>
      </c>
      <c r="L90" s="526">
        <v>0</v>
      </c>
    </row>
    <row r="91" spans="1:12" ht="12.75" customHeight="1" thickTop="1" thickBot="1" x14ac:dyDescent="0.25">
      <c r="A91" s="1524" t="s">
        <v>711</v>
      </c>
      <c r="B91" s="630">
        <v>4290</v>
      </c>
      <c r="C91" s="608"/>
      <c r="D91" s="608"/>
      <c r="E91" s="629"/>
      <c r="F91" s="608"/>
      <c r="G91" s="608"/>
      <c r="H91" s="467">
        <v>0</v>
      </c>
      <c r="I91" s="474"/>
      <c r="J91" s="474"/>
      <c r="K91" s="1688">
        <f t="shared" si="12"/>
        <v>0</v>
      </c>
      <c r="L91" s="526">
        <v>0</v>
      </c>
    </row>
    <row r="92" spans="1:12" ht="14.25" thickTop="1" thickBot="1" x14ac:dyDescent="0.25">
      <c r="A92" s="1691" t="s">
        <v>1641</v>
      </c>
      <c r="B92" s="1689">
        <v>4200</v>
      </c>
      <c r="C92" s="608"/>
      <c r="D92" s="608"/>
      <c r="E92" s="629"/>
      <c r="F92" s="608"/>
      <c r="G92" s="608"/>
      <c r="H92" s="1681">
        <f>SUM(H85:H91)</f>
        <v>0</v>
      </c>
      <c r="I92" s="474"/>
      <c r="J92" s="474"/>
      <c r="K92" s="1688">
        <f t="shared" si="12"/>
        <v>0</v>
      </c>
      <c r="L92" s="1681">
        <f>SUM(L85:L91)</f>
        <v>0</v>
      </c>
    </row>
    <row r="93" spans="1:12" ht="14.25" thickTop="1" thickBot="1" x14ac:dyDescent="0.25">
      <c r="A93" s="1523" t="s">
        <v>712</v>
      </c>
      <c r="B93" s="631">
        <v>4310</v>
      </c>
      <c r="C93" s="608"/>
      <c r="D93" s="608"/>
      <c r="E93" s="629"/>
      <c r="F93" s="608"/>
      <c r="G93" s="608"/>
      <c r="H93" s="632">
        <v>0</v>
      </c>
      <c r="I93" s="474"/>
      <c r="J93" s="474"/>
      <c r="K93" s="1688">
        <f t="shared" si="12"/>
        <v>0</v>
      </c>
      <c r="L93" s="528">
        <v>0</v>
      </c>
    </row>
    <row r="94" spans="1:12" ht="12.75" customHeight="1" thickTop="1" thickBot="1" x14ac:dyDescent="0.25">
      <c r="A94" s="1524" t="s">
        <v>713</v>
      </c>
      <c r="B94" s="630">
        <v>4320</v>
      </c>
      <c r="C94" s="608"/>
      <c r="D94" s="608"/>
      <c r="E94" s="629"/>
      <c r="F94" s="608"/>
      <c r="G94" s="608"/>
      <c r="H94" s="467">
        <v>0</v>
      </c>
      <c r="I94" s="474"/>
      <c r="J94" s="474"/>
      <c r="K94" s="1688">
        <f t="shared" si="12"/>
        <v>0</v>
      </c>
      <c r="L94" s="528">
        <v>0</v>
      </c>
    </row>
    <row r="95" spans="1:12" ht="15" customHeight="1" thickTop="1" thickBot="1" x14ac:dyDescent="0.25">
      <c r="A95" s="1524" t="s">
        <v>1568</v>
      </c>
      <c r="B95" s="630">
        <v>4330</v>
      </c>
      <c r="C95" s="608"/>
      <c r="D95" s="608"/>
      <c r="E95" s="629"/>
      <c r="F95" s="608"/>
      <c r="G95" s="608"/>
      <c r="H95" s="467">
        <v>0</v>
      </c>
      <c r="I95" s="474"/>
      <c r="J95" s="474"/>
      <c r="K95" s="1688">
        <f t="shared" si="12"/>
        <v>0</v>
      </c>
      <c r="L95" s="528">
        <v>0</v>
      </c>
    </row>
    <row r="96" spans="1:12" ht="14.25" thickTop="1" thickBot="1" x14ac:dyDescent="0.25">
      <c r="A96" s="1524" t="s">
        <v>714</v>
      </c>
      <c r="B96" s="630">
        <v>4340</v>
      </c>
      <c r="C96" s="608"/>
      <c r="D96" s="608"/>
      <c r="E96" s="629"/>
      <c r="F96" s="608"/>
      <c r="G96" s="608"/>
      <c r="H96" s="467">
        <v>2210183</v>
      </c>
      <c r="I96" s="474"/>
      <c r="J96" s="474"/>
      <c r="K96" s="1688">
        <f t="shared" si="12"/>
        <v>2210183</v>
      </c>
      <c r="L96" s="528">
        <v>1854524</v>
      </c>
    </row>
    <row r="97" spans="1:14" ht="12.75" customHeight="1" thickTop="1" thickBot="1" x14ac:dyDescent="0.25">
      <c r="A97" s="1524" t="s">
        <v>787</v>
      </c>
      <c r="B97" s="630">
        <v>4370</v>
      </c>
      <c r="C97" s="608"/>
      <c r="D97" s="608"/>
      <c r="E97" s="629"/>
      <c r="F97" s="608"/>
      <c r="G97" s="608"/>
      <c r="H97" s="467">
        <v>0</v>
      </c>
      <c r="I97" s="474"/>
      <c r="J97" s="474"/>
      <c r="K97" s="1688">
        <f t="shared" si="12"/>
        <v>0</v>
      </c>
      <c r="L97" s="528">
        <v>0</v>
      </c>
    </row>
    <row r="98" spans="1:14" ht="14.25" thickTop="1" thickBot="1" x14ac:dyDescent="0.25">
      <c r="A98" s="1524" t="s">
        <v>788</v>
      </c>
      <c r="B98" s="630">
        <v>4380</v>
      </c>
      <c r="C98" s="608"/>
      <c r="D98" s="608"/>
      <c r="E98" s="633"/>
      <c r="F98" s="608"/>
      <c r="G98" s="608"/>
      <c r="H98" s="467">
        <v>0</v>
      </c>
      <c r="I98" s="474"/>
      <c r="J98" s="474"/>
      <c r="K98" s="1688">
        <f t="shared" si="12"/>
        <v>0</v>
      </c>
      <c r="L98" s="528">
        <v>0</v>
      </c>
    </row>
    <row r="99" spans="1:14" ht="14.25" thickTop="1" thickBot="1" x14ac:dyDescent="0.25">
      <c r="A99" s="1524" t="s">
        <v>385</v>
      </c>
      <c r="B99" s="630">
        <v>4390</v>
      </c>
      <c r="C99" s="608"/>
      <c r="D99" s="608"/>
      <c r="E99" s="528">
        <v>0</v>
      </c>
      <c r="F99" s="608"/>
      <c r="G99" s="608"/>
      <c r="H99" s="467">
        <v>0</v>
      </c>
      <c r="I99" s="474"/>
      <c r="J99" s="474"/>
      <c r="K99" s="1688">
        <f>SUM(E99,H99)</f>
        <v>0</v>
      </c>
      <c r="L99" s="528">
        <v>0</v>
      </c>
    </row>
    <row r="100" spans="1:14" ht="14.25" thickTop="1" thickBot="1" x14ac:dyDescent="0.25">
      <c r="A100" s="1691" t="s">
        <v>1566</v>
      </c>
      <c r="B100" s="1692">
        <v>4300</v>
      </c>
      <c r="C100" s="608"/>
      <c r="D100" s="608"/>
      <c r="E100" s="1688">
        <f>SUM(E93:E99)</f>
        <v>0</v>
      </c>
      <c r="F100" s="608"/>
      <c r="G100" s="608"/>
      <c r="H100" s="1688">
        <f>SUM(H93:H99)</f>
        <v>2210183</v>
      </c>
      <c r="I100" s="474"/>
      <c r="J100" s="474"/>
      <c r="K100" s="1688">
        <f>SUM(K93:K99)</f>
        <v>2210183</v>
      </c>
      <c r="L100" s="1688">
        <f>SUM(L93:L99)</f>
        <v>1854524</v>
      </c>
    </row>
    <row r="101" spans="1:14" ht="12.75" customHeight="1" thickTop="1" thickBot="1" x14ac:dyDescent="0.25">
      <c r="A101" s="1521" t="s">
        <v>1569</v>
      </c>
      <c r="B101" s="634" t="s">
        <v>988</v>
      </c>
      <c r="C101" s="608"/>
      <c r="D101" s="608"/>
      <c r="E101" s="527">
        <v>0</v>
      </c>
      <c r="F101" s="608"/>
      <c r="G101" s="608"/>
      <c r="H101" s="527">
        <v>0</v>
      </c>
      <c r="I101" s="474"/>
      <c r="J101" s="474"/>
      <c r="K101" s="1690">
        <f>SUM(C101:J101)</f>
        <v>0</v>
      </c>
      <c r="L101" s="527">
        <v>0</v>
      </c>
    </row>
    <row r="102" spans="1:14" ht="12.75" customHeight="1" thickTop="1" thickBot="1" x14ac:dyDescent="0.25">
      <c r="A102" s="1679" t="s">
        <v>1567</v>
      </c>
      <c r="B102" s="1689">
        <v>4000</v>
      </c>
      <c r="C102" s="608"/>
      <c r="D102" s="608"/>
      <c r="E102" s="1688">
        <f>SUM(E84,E92,E100,E101)</f>
        <v>0</v>
      </c>
      <c r="F102" s="608"/>
      <c r="G102" s="608"/>
      <c r="H102" s="1688">
        <f>SUM(H84,H92,H100,H101)</f>
        <v>2210183</v>
      </c>
      <c r="I102" s="474"/>
      <c r="J102" s="474"/>
      <c r="K102" s="1688">
        <f>SUM(K84,K92,K100,K101)</f>
        <v>2210183</v>
      </c>
      <c r="L102" s="1688">
        <f>SUM(L84,L92,L100,L101)</f>
        <v>1854524</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1164</v>
      </c>
      <c r="B110" s="1686" t="s">
        <v>742</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659</v>
      </c>
      <c r="B112" s="1680" t="s">
        <v>513</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0</v>
      </c>
      <c r="M113" s="605"/>
      <c r="N113" s="605"/>
    </row>
    <row r="114" spans="1:14" ht="12.75" customHeight="1" thickTop="1" thickBot="1" x14ac:dyDescent="0.25">
      <c r="A114" s="1679" t="s">
        <v>50</v>
      </c>
      <c r="B114" s="1693"/>
      <c r="C114" s="1681">
        <f>SUM(C33,C74,C75,C102,C112,C113)</f>
        <v>0</v>
      </c>
      <c r="D114" s="1681">
        <f t="shared" ref="D114:K114" si="13">SUM(D33,D74,D75,D102,D112,D113)</f>
        <v>0</v>
      </c>
      <c r="E114" s="1681">
        <f t="shared" si="13"/>
        <v>338223</v>
      </c>
      <c r="F114" s="1681">
        <f t="shared" si="13"/>
        <v>21063</v>
      </c>
      <c r="G114" s="1681">
        <f t="shared" si="13"/>
        <v>0</v>
      </c>
      <c r="H114" s="1681">
        <f>SUM(H33,H74,H75,H102,H112,H113)</f>
        <v>2210183</v>
      </c>
      <c r="I114" s="1681">
        <f t="shared" si="13"/>
        <v>0</v>
      </c>
      <c r="J114" s="1681">
        <f t="shared" si="13"/>
        <v>0</v>
      </c>
      <c r="K114" s="1681">
        <f t="shared" si="13"/>
        <v>2569469</v>
      </c>
      <c r="L114" s="1681">
        <f>SUM(L33,L74,L75,L102,L112,L113)</f>
        <v>2161383</v>
      </c>
    </row>
    <row r="115" spans="1:14" ht="13.5" thickTop="1" x14ac:dyDescent="0.2">
      <c r="A115" s="2164" t="s">
        <v>1053</v>
      </c>
      <c r="B115" s="2165"/>
      <c r="C115" s="610"/>
      <c r="D115" s="610"/>
      <c r="E115" s="610"/>
      <c r="F115" s="610"/>
      <c r="G115" s="610"/>
      <c r="H115" s="610"/>
      <c r="I115" s="610"/>
      <c r="J115" s="610"/>
      <c r="K115" s="1695">
        <f>'Revenues 9-14'!C275-'Expenditures 15-22'!K114</f>
        <v>313521</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169" t="s">
        <v>314</v>
      </c>
      <c r="B117" s="2170"/>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0</v>
      </c>
      <c r="F123" s="466">
        <v>0</v>
      </c>
      <c r="G123" s="466">
        <v>0</v>
      </c>
      <c r="H123" s="466">
        <v>0</v>
      </c>
      <c r="I123" s="466">
        <v>0</v>
      </c>
      <c r="J123" s="466">
        <v>0</v>
      </c>
      <c r="K123" s="1681">
        <f>SUM(C123:J123)</f>
        <v>0</v>
      </c>
      <c r="L123" s="466">
        <v>0</v>
      </c>
    </row>
    <row r="124" spans="1:14" ht="14.25" thickTop="1" thickBot="1" x14ac:dyDescent="0.25">
      <c r="A124" s="1515" t="s">
        <v>206</v>
      </c>
      <c r="B124" s="606">
        <v>2540</v>
      </c>
      <c r="C124" s="466">
        <v>0</v>
      </c>
      <c r="D124" s="466">
        <v>0</v>
      </c>
      <c r="E124" s="466">
        <v>0</v>
      </c>
      <c r="F124" s="466">
        <v>0</v>
      </c>
      <c r="G124" s="466">
        <v>0</v>
      </c>
      <c r="H124" s="466">
        <v>0</v>
      </c>
      <c r="I124" s="466">
        <v>0</v>
      </c>
      <c r="J124" s="466">
        <v>0</v>
      </c>
      <c r="K124" s="1681">
        <f>SUM(C124:J124)</f>
        <v>0</v>
      </c>
      <c r="L124" s="466">
        <v>0</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743</v>
      </c>
      <c r="B127" s="1680" t="s">
        <v>35</v>
      </c>
      <c r="C127" s="1681">
        <f>SUM(C122:C126)</f>
        <v>0</v>
      </c>
      <c r="D127" s="1681">
        <f t="shared" ref="D127:L127" si="14">SUM(D122:D126)</f>
        <v>0</v>
      </c>
      <c r="E127" s="1681">
        <f t="shared" si="14"/>
        <v>0</v>
      </c>
      <c r="F127" s="1681">
        <f t="shared" si="14"/>
        <v>0</v>
      </c>
      <c r="G127" s="1681">
        <f t="shared" si="14"/>
        <v>0</v>
      </c>
      <c r="H127" s="1681">
        <f t="shared" si="14"/>
        <v>0</v>
      </c>
      <c r="I127" s="1681">
        <f t="shared" si="14"/>
        <v>0</v>
      </c>
      <c r="J127" s="1681">
        <f t="shared" si="14"/>
        <v>0</v>
      </c>
      <c r="K127" s="1681">
        <f t="shared" si="14"/>
        <v>0</v>
      </c>
      <c r="L127" s="1681">
        <f t="shared" si="14"/>
        <v>0</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865</v>
      </c>
      <c r="B129" s="1698" t="s">
        <v>590</v>
      </c>
      <c r="C129" s="1688">
        <f>SUM(C120,C127,C128)</f>
        <v>0</v>
      </c>
      <c r="D129" s="1688">
        <f t="shared" ref="D129:L129" si="15">SUM(D120,D127,D128)</f>
        <v>0</v>
      </c>
      <c r="E129" s="1688">
        <f t="shared" si="15"/>
        <v>0</v>
      </c>
      <c r="F129" s="1688">
        <f t="shared" si="15"/>
        <v>0</v>
      </c>
      <c r="G129" s="1688">
        <f t="shared" si="15"/>
        <v>0</v>
      </c>
      <c r="H129" s="1688">
        <f t="shared" si="15"/>
        <v>0</v>
      </c>
      <c r="I129" s="1688">
        <f t="shared" si="15"/>
        <v>0</v>
      </c>
      <c r="J129" s="1688">
        <f t="shared" si="15"/>
        <v>0</v>
      </c>
      <c r="K129" s="1688">
        <f t="shared" si="15"/>
        <v>0</v>
      </c>
      <c r="L129" s="1688">
        <f t="shared" si="15"/>
        <v>0</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3" t="s">
        <v>1957</v>
      </c>
      <c r="C133" s="468"/>
      <c r="D133" s="468"/>
      <c r="E133" s="466">
        <v>0</v>
      </c>
      <c r="F133" s="468"/>
      <c r="G133" s="468"/>
      <c r="H133" s="466">
        <v>0</v>
      </c>
      <c r="I133" s="468"/>
      <c r="J133" s="468"/>
      <c r="K133" s="1833">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3">
        <f>SUM(E134,H134)</f>
        <v>0</v>
      </c>
      <c r="L134" s="466">
        <v>0</v>
      </c>
    </row>
    <row r="135" spans="1:14" x14ac:dyDescent="0.2">
      <c r="A135" s="1515" t="s">
        <v>721</v>
      </c>
      <c r="B135" s="606">
        <v>4140</v>
      </c>
      <c r="C135" s="608"/>
      <c r="D135" s="608"/>
      <c r="E135" s="466">
        <v>0</v>
      </c>
      <c r="F135" s="608"/>
      <c r="G135" s="608"/>
      <c r="H135" s="466">
        <v>0</v>
      </c>
      <c r="I135" s="474"/>
      <c r="J135" s="608"/>
      <c r="K135" s="1683">
        <f>SUM(E135,H135)</f>
        <v>0</v>
      </c>
      <c r="L135" s="466">
        <v>0</v>
      </c>
    </row>
    <row r="136" spans="1:14" x14ac:dyDescent="0.2">
      <c r="A136" s="1519" t="s">
        <v>722</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501</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988</v>
      </c>
      <c r="C138" s="608"/>
      <c r="D138" s="608"/>
      <c r="E138" s="476">
        <v>0</v>
      </c>
      <c r="F138" s="608"/>
      <c r="G138" s="608"/>
      <c r="H138" s="570">
        <v>0</v>
      </c>
      <c r="I138" s="474"/>
      <c r="J138" s="608"/>
      <c r="K138" s="1683">
        <f>SUM(E138,H138)</f>
        <v>0</v>
      </c>
      <c r="L138" s="570">
        <v>0</v>
      </c>
    </row>
    <row r="139" spans="1:14" ht="12.75" customHeight="1" thickTop="1" thickBot="1" x14ac:dyDescent="0.25">
      <c r="A139" s="1679" t="s">
        <v>1567</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1232</v>
      </c>
      <c r="B144" s="620" t="s">
        <v>638</v>
      </c>
      <c r="C144" s="608"/>
      <c r="D144" s="608"/>
      <c r="E144" s="608"/>
      <c r="F144" s="608"/>
      <c r="G144" s="608"/>
      <c r="H144" s="466">
        <v>0</v>
      </c>
      <c r="I144" s="468"/>
      <c r="J144" s="608"/>
      <c r="K144" s="1683">
        <f>SUM(H144)</f>
        <v>0</v>
      </c>
      <c r="L144" s="466">
        <v>0</v>
      </c>
    </row>
    <row r="145" spans="1:14" x14ac:dyDescent="0.2">
      <c r="A145" s="1515" t="s">
        <v>91</v>
      </c>
      <c r="B145" s="606" t="s">
        <v>610</v>
      </c>
      <c r="C145" s="608"/>
      <c r="D145" s="608"/>
      <c r="E145" s="608"/>
      <c r="F145" s="608"/>
      <c r="G145" s="608"/>
      <c r="H145" s="466">
        <v>0</v>
      </c>
      <c r="I145" s="468"/>
      <c r="J145" s="608"/>
      <c r="K145" s="1683">
        <f>SUM(H145)</f>
        <v>0</v>
      </c>
      <c r="L145" s="466">
        <v>0</v>
      </c>
    </row>
    <row r="146" spans="1:14" ht="12.75" customHeight="1" x14ac:dyDescent="0.2">
      <c r="A146" s="1515" t="s">
        <v>640</v>
      </c>
      <c r="B146" s="606" t="s">
        <v>639</v>
      </c>
      <c r="C146" s="608"/>
      <c r="D146" s="608"/>
      <c r="E146" s="608"/>
      <c r="F146" s="608"/>
      <c r="G146" s="608"/>
      <c r="H146" s="466">
        <v>0</v>
      </c>
      <c r="I146" s="468"/>
      <c r="J146" s="608"/>
      <c r="K146" s="1683">
        <f>SUM(H146)</f>
        <v>0</v>
      </c>
      <c r="L146" s="466">
        <v>0</v>
      </c>
    </row>
    <row r="147" spans="1:14" ht="12.75" customHeight="1" thickBot="1" x14ac:dyDescent="0.25">
      <c r="A147" s="1526" t="s">
        <v>647</v>
      </c>
      <c r="B147" s="650" t="s">
        <v>742</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1165</v>
      </c>
      <c r="B148" s="652" t="s">
        <v>38</v>
      </c>
      <c r="C148" s="608"/>
      <c r="D148" s="608"/>
      <c r="E148" s="608"/>
      <c r="F148" s="608"/>
      <c r="G148" s="608"/>
      <c r="H148" s="476">
        <v>0</v>
      </c>
      <c r="I148" s="468"/>
      <c r="J148" s="608"/>
      <c r="K148" s="1683">
        <f>SUM(H148)</f>
        <v>0</v>
      </c>
      <c r="L148" s="488">
        <v>0</v>
      </c>
    </row>
    <row r="149" spans="1:14" ht="12.75" customHeight="1" thickBot="1" x14ac:dyDescent="0.25">
      <c r="A149" s="1518" t="s">
        <v>659</v>
      </c>
      <c r="B149" s="609" t="s">
        <v>513</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0</v>
      </c>
    </row>
    <row r="151" spans="1:14" ht="12.75" customHeight="1" thickTop="1" thickBot="1" x14ac:dyDescent="0.25">
      <c r="A151" s="2181" t="s">
        <v>641</v>
      </c>
      <c r="B151" s="2161"/>
      <c r="C151" s="1681">
        <f>SUM(C129,C130,C139,C149,C150)</f>
        <v>0</v>
      </c>
      <c r="D151" s="1681">
        <f t="shared" ref="D151:K151" si="16">SUM(D129,D130,D139,D149,D150)</f>
        <v>0</v>
      </c>
      <c r="E151" s="1681">
        <f t="shared" si="16"/>
        <v>0</v>
      </c>
      <c r="F151" s="1681">
        <f t="shared" si="16"/>
        <v>0</v>
      </c>
      <c r="G151" s="1681">
        <f t="shared" si="16"/>
        <v>0</v>
      </c>
      <c r="H151" s="1681">
        <f t="shared" si="16"/>
        <v>0</v>
      </c>
      <c r="I151" s="1681">
        <f t="shared" si="16"/>
        <v>0</v>
      </c>
      <c r="J151" s="1681">
        <f t="shared" si="16"/>
        <v>0</v>
      </c>
      <c r="K151" s="1681">
        <f t="shared" si="16"/>
        <v>0</v>
      </c>
      <c r="L151" s="1681">
        <f>SUM(L129,L130,L139,L149,L150)</f>
        <v>0</v>
      </c>
    </row>
    <row r="152" spans="1:14" ht="12.75" customHeight="1" thickTop="1" x14ac:dyDescent="0.2">
      <c r="A152" s="2184" t="s">
        <v>1240</v>
      </c>
      <c r="B152" s="2185"/>
      <c r="C152" s="610"/>
      <c r="D152" s="610"/>
      <c r="E152" s="610"/>
      <c r="F152" s="610"/>
      <c r="G152" s="610"/>
      <c r="H152" s="610"/>
      <c r="I152" s="610"/>
      <c r="J152" s="608"/>
      <c r="K152" s="1695">
        <f>'Revenues 9-14'!D275-'Expenditures 15-22'!K151</f>
        <v>0</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169" t="s">
        <v>642</v>
      </c>
      <c r="B154" s="2171"/>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4"/>
      <c r="I155" s="608"/>
      <c r="J155" s="608"/>
      <c r="K155" s="1837"/>
      <c r="L155" s="1854"/>
      <c r="M155" s="611"/>
      <c r="N155" s="611"/>
    </row>
    <row r="156" spans="1:14" s="612" customFormat="1" ht="15.75" customHeight="1" thickTop="1" x14ac:dyDescent="0.2">
      <c r="A156" s="1834" t="s">
        <v>1958</v>
      </c>
      <c r="B156" s="1835"/>
      <c r="C156" s="608"/>
      <c r="D156" s="608"/>
      <c r="E156" s="608"/>
      <c r="F156" s="608"/>
      <c r="G156" s="608"/>
      <c r="H156" s="1855"/>
      <c r="I156" s="608"/>
      <c r="J156" s="608"/>
      <c r="K156" s="1836"/>
      <c r="L156" s="1855"/>
      <c r="M156" s="611"/>
      <c r="N156" s="611"/>
    </row>
    <row r="157" spans="1:14" s="612" customFormat="1" ht="12" x14ac:dyDescent="0.2">
      <c r="A157" s="1838" t="s">
        <v>517</v>
      </c>
      <c r="B157" s="1839" t="s">
        <v>1957</v>
      </c>
      <c r="C157" s="608"/>
      <c r="D157" s="608"/>
      <c r="E157" s="608"/>
      <c r="F157" s="608"/>
      <c r="G157" s="608"/>
      <c r="H157" s="466">
        <v>0</v>
      </c>
      <c r="I157" s="608"/>
      <c r="J157" s="608"/>
      <c r="K157" s="1682">
        <f>H157</f>
        <v>0</v>
      </c>
      <c r="L157" s="466">
        <v>0</v>
      </c>
      <c r="M157" s="611"/>
      <c r="N157" s="611"/>
    </row>
    <row r="158" spans="1:14" s="612" customFormat="1" ht="12" x14ac:dyDescent="0.2">
      <c r="A158" s="1838" t="s">
        <v>322</v>
      </c>
      <c r="B158" s="1839" t="s">
        <v>1959</v>
      </c>
      <c r="C158" s="608"/>
      <c r="D158" s="608"/>
      <c r="E158" s="608"/>
      <c r="F158" s="608"/>
      <c r="G158" s="608"/>
      <c r="H158" s="466">
        <v>0</v>
      </c>
      <c r="I158" s="608"/>
      <c r="J158" s="608"/>
      <c r="K158" s="1682">
        <f>H158</f>
        <v>0</v>
      </c>
      <c r="L158" s="466">
        <v>0</v>
      </c>
      <c r="M158" s="611"/>
      <c r="N158" s="611"/>
    </row>
    <row r="159" spans="1:14" s="612" customFormat="1" ht="12" x14ac:dyDescent="0.2">
      <c r="A159" s="1838" t="s">
        <v>1960</v>
      </c>
      <c r="B159" s="1839" t="s">
        <v>579</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1961</v>
      </c>
      <c r="B160" s="1841" t="s">
        <v>915</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1232</v>
      </c>
      <c r="B165" s="606" t="s">
        <v>638</v>
      </c>
      <c r="C165" s="608"/>
      <c r="D165" s="608"/>
      <c r="E165" s="608"/>
      <c r="F165" s="608"/>
      <c r="G165" s="608"/>
      <c r="H165" s="466">
        <v>0</v>
      </c>
      <c r="I165" s="608"/>
      <c r="J165" s="608"/>
      <c r="K165" s="1682">
        <f>SUM(C165:J165)</f>
        <v>0</v>
      </c>
      <c r="L165" s="466">
        <v>0</v>
      </c>
    </row>
    <row r="166" spans="1:14" x14ac:dyDescent="0.2">
      <c r="A166" s="1515" t="s">
        <v>91</v>
      </c>
      <c r="B166" s="620" t="s">
        <v>610</v>
      </c>
      <c r="C166" s="608"/>
      <c r="D166" s="608"/>
      <c r="E166" s="608"/>
      <c r="F166" s="608"/>
      <c r="G166" s="608"/>
      <c r="H166" s="466">
        <v>0</v>
      </c>
      <c r="I166" s="608"/>
      <c r="J166" s="608"/>
      <c r="K166" s="1682">
        <f>SUM(C166:J166)</f>
        <v>0</v>
      </c>
      <c r="L166" s="466">
        <v>0</v>
      </c>
    </row>
    <row r="167" spans="1:14" ht="12.75" customHeight="1" x14ac:dyDescent="0.2">
      <c r="A167" s="1515" t="s">
        <v>640</v>
      </c>
      <c r="B167" s="606" t="s">
        <v>639</v>
      </c>
      <c r="C167" s="608"/>
      <c r="D167" s="608"/>
      <c r="E167" s="608"/>
      <c r="F167" s="608"/>
      <c r="G167" s="608"/>
      <c r="H167" s="466">
        <v>0</v>
      </c>
      <c r="I167" s="608"/>
      <c r="J167" s="608"/>
      <c r="K167" s="1682">
        <f>SUM(C167:J167)</f>
        <v>0</v>
      </c>
      <c r="L167" s="466">
        <v>0</v>
      </c>
    </row>
    <row r="168" spans="1:14" ht="13.5" thickBot="1" x14ac:dyDescent="0.25">
      <c r="A168" s="1679" t="s">
        <v>294</v>
      </c>
      <c r="B168" s="1686" t="s">
        <v>742</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0</v>
      </c>
      <c r="I169" s="608"/>
      <c r="J169" s="608"/>
      <c r="K169" s="1682">
        <f>SUM(C169:H169)</f>
        <v>0</v>
      </c>
      <c r="L169" s="647">
        <v>0</v>
      </c>
    </row>
    <row r="170" spans="1:14" ht="33.75" customHeight="1" x14ac:dyDescent="0.2">
      <c r="A170" s="660" t="s">
        <v>1769</v>
      </c>
      <c r="B170" s="662" t="s">
        <v>31</v>
      </c>
      <c r="C170" s="608"/>
      <c r="D170" s="608"/>
      <c r="E170" s="608"/>
      <c r="F170" s="608"/>
      <c r="G170" s="608"/>
      <c r="H170" s="563">
        <v>0</v>
      </c>
      <c r="I170" s="608"/>
      <c r="J170" s="608"/>
      <c r="K170" s="1682">
        <f>SUM(C170:J170)</f>
        <v>0</v>
      </c>
      <c r="L170" s="563">
        <v>0</v>
      </c>
    </row>
    <row r="171" spans="1:14" ht="15.75" customHeight="1" x14ac:dyDescent="0.2">
      <c r="A171" s="613" t="s">
        <v>790</v>
      </c>
      <c r="B171" s="663" t="s">
        <v>86</v>
      </c>
      <c r="C171" s="608"/>
      <c r="D171" s="608"/>
      <c r="E171" s="563">
        <v>0</v>
      </c>
      <c r="F171" s="608"/>
      <c r="G171" s="608"/>
      <c r="H171" s="563">
        <v>0</v>
      </c>
      <c r="I171" s="474"/>
      <c r="J171" s="608"/>
      <c r="K171" s="1682">
        <f>SUM(C171:J171)</f>
        <v>0</v>
      </c>
      <c r="L171" s="563">
        <v>0</v>
      </c>
    </row>
    <row r="172" spans="1:14" ht="12.75" customHeight="1" thickBot="1" x14ac:dyDescent="0.25">
      <c r="A172" s="1679" t="s">
        <v>659</v>
      </c>
      <c r="B172" s="1680" t="s">
        <v>513</v>
      </c>
      <c r="C172" s="608"/>
      <c r="D172" s="608"/>
      <c r="E172" s="1688">
        <f>SUM(E168,E169,E170,E171)</f>
        <v>0</v>
      </c>
      <c r="F172" s="608"/>
      <c r="G172" s="608"/>
      <c r="H172" s="1688">
        <f>SUM(H168,H169,H170,H171)</f>
        <v>0</v>
      </c>
      <c r="I172" s="629"/>
      <c r="J172" s="608"/>
      <c r="K172" s="1688">
        <f>SUM(K168,K169,K170,K171)</f>
        <v>0</v>
      </c>
      <c r="L172" s="1688">
        <f>SUM(L168,L169,L170,L171)</f>
        <v>0</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0</v>
      </c>
      <c r="F174" s="608"/>
      <c r="G174" s="608"/>
      <c r="H174" s="1688">
        <f>SUM(H160,H172,H173)</f>
        <v>0</v>
      </c>
      <c r="I174" s="629"/>
      <c r="J174" s="608"/>
      <c r="K174" s="1688">
        <f>SUM(K160,K172,K173)</f>
        <v>0</v>
      </c>
      <c r="L174" s="1688">
        <f>SUM(L160,L172,L173)</f>
        <v>0</v>
      </c>
    </row>
    <row r="175" spans="1:14" ht="13.5" thickTop="1" x14ac:dyDescent="0.2">
      <c r="A175" s="2164" t="s">
        <v>1053</v>
      </c>
      <c r="B175" s="2165"/>
      <c r="C175" s="608"/>
      <c r="D175" s="608"/>
      <c r="E175" s="608"/>
      <c r="F175" s="608"/>
      <c r="G175" s="608"/>
      <c r="H175" s="610"/>
      <c r="I175" s="608"/>
      <c r="J175" s="608"/>
      <c r="K175" s="1695">
        <f>'Revenues 9-14'!E275-'Expenditures 15-22'!K174</f>
        <v>0</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2">
        <f>SUM(C180:J180)</f>
        <v>0</v>
      </c>
      <c r="L180" s="466">
        <v>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0</v>
      </c>
      <c r="D182" s="466">
        <v>0</v>
      </c>
      <c r="E182" s="466">
        <v>0</v>
      </c>
      <c r="F182" s="466">
        <v>0</v>
      </c>
      <c r="G182" s="466">
        <v>0</v>
      </c>
      <c r="H182" s="466">
        <v>0</v>
      </c>
      <c r="I182" s="466">
        <v>0</v>
      </c>
      <c r="J182" s="466">
        <v>0</v>
      </c>
      <c r="K182" s="1682">
        <f>SUM(C182:J182)</f>
        <v>0</v>
      </c>
      <c r="L182" s="466">
        <v>0</v>
      </c>
    </row>
    <row r="183" spans="1:14" ht="12.75" customHeight="1" thickBot="1" x14ac:dyDescent="0.25">
      <c r="A183" s="1520" t="s">
        <v>1037</v>
      </c>
      <c r="B183" s="668">
        <v>2900</v>
      </c>
      <c r="C183" s="567">
        <v>0</v>
      </c>
      <c r="D183" s="567">
        <v>0</v>
      </c>
      <c r="E183" s="567">
        <v>0</v>
      </c>
      <c r="F183" s="567">
        <v>0</v>
      </c>
      <c r="G183" s="567">
        <v>0</v>
      </c>
      <c r="H183" s="567">
        <v>0</v>
      </c>
      <c r="I183" s="567">
        <v>0</v>
      </c>
      <c r="J183" s="567">
        <v>0</v>
      </c>
      <c r="K183" s="1688">
        <f>SUM(C183:J183)</f>
        <v>0</v>
      </c>
      <c r="L183" s="567">
        <v>0</v>
      </c>
    </row>
    <row r="184" spans="1:14" ht="12.75" customHeight="1" thickTop="1" thickBot="1" x14ac:dyDescent="0.25">
      <c r="A184" s="1702" t="s">
        <v>865</v>
      </c>
      <c r="B184" s="1680" t="s">
        <v>590</v>
      </c>
      <c r="C184" s="1688">
        <f>SUM(C180,C182,C183)</f>
        <v>0</v>
      </c>
      <c r="D184" s="1688">
        <f t="shared" ref="D184:J184" si="17">SUM(D180,D182,D183)</f>
        <v>0</v>
      </c>
      <c r="E184" s="1688">
        <f t="shared" si="17"/>
        <v>0</v>
      </c>
      <c r="F184" s="1688">
        <f t="shared" si="17"/>
        <v>0</v>
      </c>
      <c r="G184" s="1688">
        <f t="shared" si="17"/>
        <v>0</v>
      </c>
      <c r="H184" s="1688">
        <f t="shared" si="17"/>
        <v>0</v>
      </c>
      <c r="I184" s="1688">
        <f t="shared" si="17"/>
        <v>0</v>
      </c>
      <c r="J184" s="1688">
        <f t="shared" si="17"/>
        <v>0</v>
      </c>
      <c r="K184" s="1688">
        <f>SUM(K180,K182,K183)</f>
        <v>0</v>
      </c>
      <c r="L184" s="1688">
        <f>SUM(L180, L182:L183)</f>
        <v>0</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2">
        <f t="shared" ref="K188:K193" si="18">SUM(E188,H188)</f>
        <v>0</v>
      </c>
      <c r="L188" s="466">
        <v>0</v>
      </c>
    </row>
    <row r="189" spans="1:14" x14ac:dyDescent="0.2">
      <c r="A189" s="1515" t="s">
        <v>322</v>
      </c>
      <c r="B189" s="606">
        <v>4120</v>
      </c>
      <c r="C189" s="608"/>
      <c r="D189" s="608"/>
      <c r="E189" s="466">
        <v>0</v>
      </c>
      <c r="F189" s="608"/>
      <c r="G189" s="608"/>
      <c r="H189" s="466">
        <v>0</v>
      </c>
      <c r="I189" s="474"/>
      <c r="J189" s="608"/>
      <c r="K189" s="1682">
        <f t="shared" si="18"/>
        <v>0</v>
      </c>
      <c r="L189" s="466">
        <v>0</v>
      </c>
    </row>
    <row r="190" spans="1:14" x14ac:dyDescent="0.2">
      <c r="A190" s="1515" t="s">
        <v>323</v>
      </c>
      <c r="B190" s="620">
        <v>4130</v>
      </c>
      <c r="C190" s="608"/>
      <c r="D190" s="608"/>
      <c r="E190" s="466">
        <v>0</v>
      </c>
      <c r="F190" s="608"/>
      <c r="G190" s="608"/>
      <c r="H190" s="466">
        <v>0</v>
      </c>
      <c r="I190" s="474"/>
      <c r="J190" s="608"/>
      <c r="K190" s="1682">
        <f t="shared" si="18"/>
        <v>0</v>
      </c>
      <c r="L190" s="466">
        <v>0</v>
      </c>
    </row>
    <row r="191" spans="1:14" x14ac:dyDescent="0.2">
      <c r="A191" s="1515" t="s">
        <v>721</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722</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1202</v>
      </c>
      <c r="B194" s="1680" t="s">
        <v>580</v>
      </c>
      <c r="C194" s="608"/>
      <c r="D194" s="608"/>
      <c r="E194" s="1681">
        <f>SUM(E188:E193)</f>
        <v>0</v>
      </c>
      <c r="F194" s="608"/>
      <c r="G194" s="608"/>
      <c r="H194" s="1681">
        <f>SUM(H188:H193)</f>
        <v>0</v>
      </c>
      <c r="I194" s="474"/>
      <c r="J194" s="608"/>
      <c r="K194" s="1681">
        <f>SUM(K188:K193)</f>
        <v>0</v>
      </c>
      <c r="L194" s="1681">
        <f>SUM(L188:L193)</f>
        <v>0</v>
      </c>
    </row>
    <row r="195" spans="1:14" ht="15.75" customHeight="1" thickTop="1" x14ac:dyDescent="0.2">
      <c r="A195" s="660" t="s">
        <v>94</v>
      </c>
      <c r="B195" s="669" t="s">
        <v>988</v>
      </c>
      <c r="C195" s="608"/>
      <c r="D195" s="608"/>
      <c r="E195" s="647">
        <v>0</v>
      </c>
      <c r="F195" s="608"/>
      <c r="G195" s="608"/>
      <c r="H195" s="647">
        <v>0</v>
      </c>
      <c r="I195" s="474"/>
      <c r="J195" s="608"/>
      <c r="K195" s="1696">
        <f>SUM(E195,H195)</f>
        <v>0</v>
      </c>
      <c r="L195" s="647">
        <v>0</v>
      </c>
    </row>
    <row r="196" spans="1:14" ht="12.75" customHeight="1" thickBot="1" x14ac:dyDescent="0.25">
      <c r="A196" s="1679" t="s">
        <v>1567</v>
      </c>
      <c r="B196" s="1680" t="s">
        <v>915</v>
      </c>
      <c r="C196" s="608"/>
      <c r="D196" s="608"/>
      <c r="E196" s="1688">
        <f>SUM(E194,E195)</f>
        <v>0</v>
      </c>
      <c r="F196" s="608"/>
      <c r="G196" s="608"/>
      <c r="H196" s="1688">
        <f>SUM(H194,H195)</f>
        <v>0</v>
      </c>
      <c r="I196" s="474"/>
      <c r="J196" s="608"/>
      <c r="K196" s="1688">
        <f>SUM(K194,K195)</f>
        <v>0</v>
      </c>
      <c r="L196" s="1688">
        <f>SUM(L194,L195)</f>
        <v>0</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1232</v>
      </c>
      <c r="B201" s="620" t="s">
        <v>638</v>
      </c>
      <c r="C201" s="608"/>
      <c r="D201" s="608"/>
      <c r="E201" s="608"/>
      <c r="F201" s="608"/>
      <c r="G201" s="608"/>
      <c r="H201" s="466">
        <v>0</v>
      </c>
      <c r="I201" s="608"/>
      <c r="J201" s="608"/>
      <c r="K201" s="1682">
        <f>SUM(H201)</f>
        <v>0</v>
      </c>
      <c r="L201" s="466">
        <v>0</v>
      </c>
    </row>
    <row r="202" spans="1:14" x14ac:dyDescent="0.2">
      <c r="A202" s="1515" t="s">
        <v>91</v>
      </c>
      <c r="B202" s="606" t="s">
        <v>610</v>
      </c>
      <c r="C202" s="608"/>
      <c r="D202" s="608"/>
      <c r="E202" s="608"/>
      <c r="F202" s="608"/>
      <c r="G202" s="608"/>
      <c r="H202" s="466">
        <v>0</v>
      </c>
      <c r="I202" s="608"/>
      <c r="J202" s="608"/>
      <c r="K202" s="1682">
        <f>SUM(H202)</f>
        <v>0</v>
      </c>
      <c r="L202" s="466">
        <v>0</v>
      </c>
    </row>
    <row r="203" spans="1:14" x14ac:dyDescent="0.2">
      <c r="A203" s="1527" t="s">
        <v>640</v>
      </c>
      <c r="B203" s="606" t="s">
        <v>639</v>
      </c>
      <c r="C203" s="608"/>
      <c r="D203" s="608"/>
      <c r="E203" s="608"/>
      <c r="F203" s="608"/>
      <c r="G203" s="608"/>
      <c r="H203" s="466">
        <v>0</v>
      </c>
      <c r="I203" s="608"/>
      <c r="J203" s="608"/>
      <c r="K203" s="1682">
        <f>SUM(H203)</f>
        <v>0</v>
      </c>
      <c r="L203" s="466">
        <v>0</v>
      </c>
    </row>
    <row r="204" spans="1:14" ht="13.5" thickBot="1" x14ac:dyDescent="0.25">
      <c r="A204" s="1679" t="s">
        <v>294</v>
      </c>
      <c r="B204" s="1680" t="s">
        <v>742</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1770</v>
      </c>
      <c r="B206" s="663" t="s">
        <v>31</v>
      </c>
      <c r="C206" s="608"/>
      <c r="D206" s="608"/>
      <c r="E206" s="608"/>
      <c r="F206" s="608"/>
      <c r="G206" s="608"/>
      <c r="H206" s="466">
        <v>0</v>
      </c>
      <c r="I206" s="608"/>
      <c r="J206" s="608"/>
      <c r="K206" s="1682">
        <f>SUM(H206)</f>
        <v>0</v>
      </c>
      <c r="L206" s="466">
        <v>0</v>
      </c>
    </row>
    <row r="207" spans="1:14" ht="15.75" customHeight="1" x14ac:dyDescent="0.2">
      <c r="A207" s="613" t="s">
        <v>790</v>
      </c>
      <c r="B207" s="663" t="s">
        <v>86</v>
      </c>
      <c r="C207" s="608"/>
      <c r="D207" s="608"/>
      <c r="E207" s="608"/>
      <c r="F207" s="608"/>
      <c r="G207" s="608"/>
      <c r="H207" s="467">
        <v>0</v>
      </c>
      <c r="I207" s="608"/>
      <c r="J207" s="608"/>
      <c r="K207" s="1682">
        <f>H207</f>
        <v>0</v>
      </c>
      <c r="L207" s="467">
        <v>0</v>
      </c>
    </row>
    <row r="208" spans="1:14" ht="12.75" customHeight="1" thickBot="1" x14ac:dyDescent="0.25">
      <c r="A208" s="1697" t="s">
        <v>659</v>
      </c>
      <c r="B208" s="1698" t="s">
        <v>513</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3" t="s">
        <v>295</v>
      </c>
      <c r="B210" s="1704"/>
      <c r="C210" s="1681">
        <f>SUM(C184,C185)</f>
        <v>0</v>
      </c>
      <c r="D210" s="1681">
        <f>SUM(D184,D185)</f>
        <v>0</v>
      </c>
      <c r="E210" s="1681">
        <f>SUM(E184,E185,E196)</f>
        <v>0</v>
      </c>
      <c r="F210" s="1681">
        <f>SUM(F184,F185)</f>
        <v>0</v>
      </c>
      <c r="G210" s="1681">
        <f>SUM(G184,G185)</f>
        <v>0</v>
      </c>
      <c r="H210" s="1681">
        <f>SUM(H184,H185,H196,H208,H209)</f>
        <v>0</v>
      </c>
      <c r="I210" s="1681">
        <f>SUM(I184,I185)</f>
        <v>0</v>
      </c>
      <c r="J210" s="1681">
        <f>SUM(J184,J185)</f>
        <v>0</v>
      </c>
      <c r="K210" s="1682">
        <f>SUM(K184,K185,K196,K208,K209)</f>
        <v>0</v>
      </c>
      <c r="L210" s="1681">
        <f>SUM(L184,L185,L196,L208,L209)</f>
        <v>0</v>
      </c>
    </row>
    <row r="211" spans="1:14" ht="13.5" thickTop="1" x14ac:dyDescent="0.2">
      <c r="A211" s="2164" t="s">
        <v>1053</v>
      </c>
      <c r="B211" s="2165"/>
      <c r="C211" s="610"/>
      <c r="D211" s="610"/>
      <c r="E211" s="610"/>
      <c r="F211" s="610"/>
      <c r="G211" s="610"/>
      <c r="H211" s="610"/>
      <c r="I211" s="608"/>
      <c r="J211" s="608"/>
      <c r="K211" s="1695">
        <f>'Revenues 9-14'!F275-'Expenditures 15-22'!K210</f>
        <v>0</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186" t="s">
        <v>1022</v>
      </c>
      <c r="B213" s="2187"/>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0</v>
      </c>
      <c r="E215" s="608"/>
      <c r="F215" s="608"/>
      <c r="G215" s="608"/>
      <c r="H215" s="608"/>
      <c r="I215" s="608"/>
      <c r="J215" s="608"/>
      <c r="K215" s="1682">
        <f>D215</f>
        <v>0</v>
      </c>
      <c r="L215" s="466">
        <v>0</v>
      </c>
    </row>
    <row r="216" spans="1:14" x14ac:dyDescent="0.2">
      <c r="A216" s="1515" t="s">
        <v>165</v>
      </c>
      <c r="B216" s="606" t="s">
        <v>1024</v>
      </c>
      <c r="C216" s="608"/>
      <c r="D216" s="466">
        <v>0</v>
      </c>
      <c r="E216" s="608"/>
      <c r="F216" s="608"/>
      <c r="G216" s="608"/>
      <c r="H216" s="608"/>
      <c r="I216" s="608"/>
      <c r="J216" s="608"/>
      <c r="K216" s="1682">
        <f t="shared" ref="K216:K228" si="19">D216</f>
        <v>0</v>
      </c>
      <c r="L216" s="466">
        <v>0</v>
      </c>
    </row>
    <row r="217" spans="1:14" x14ac:dyDescent="0.2">
      <c r="A217" s="1515" t="s">
        <v>166</v>
      </c>
      <c r="B217" s="606">
        <v>1200</v>
      </c>
      <c r="C217" s="608"/>
      <c r="D217" s="466">
        <v>0</v>
      </c>
      <c r="E217" s="608"/>
      <c r="F217" s="608"/>
      <c r="G217" s="608"/>
      <c r="H217" s="608"/>
      <c r="I217" s="608"/>
      <c r="J217" s="608"/>
      <c r="K217" s="1682">
        <f t="shared" si="19"/>
        <v>0</v>
      </c>
      <c r="L217" s="466">
        <v>0</v>
      </c>
    </row>
    <row r="218" spans="1:14" x14ac:dyDescent="0.2">
      <c r="A218" s="1515" t="s">
        <v>296</v>
      </c>
      <c r="B218" s="606" t="s">
        <v>1025</v>
      </c>
      <c r="C218" s="608"/>
      <c r="D218" s="466">
        <v>0</v>
      </c>
      <c r="E218" s="608"/>
      <c r="F218" s="608"/>
      <c r="G218" s="608"/>
      <c r="H218" s="608"/>
      <c r="I218" s="608"/>
      <c r="J218" s="608"/>
      <c r="K218" s="1682">
        <f t="shared" si="19"/>
        <v>0</v>
      </c>
      <c r="L218" s="466">
        <v>0</v>
      </c>
    </row>
    <row r="219" spans="1:14" x14ac:dyDescent="0.2">
      <c r="A219" s="1515" t="s">
        <v>297</v>
      </c>
      <c r="B219" s="606">
        <v>1250</v>
      </c>
      <c r="C219" s="608"/>
      <c r="D219" s="466">
        <v>0</v>
      </c>
      <c r="E219" s="608"/>
      <c r="F219" s="608"/>
      <c r="G219" s="608"/>
      <c r="H219" s="608"/>
      <c r="I219" s="608"/>
      <c r="J219" s="608"/>
      <c r="K219" s="1682">
        <f t="shared" si="19"/>
        <v>0</v>
      </c>
      <c r="L219" s="466">
        <v>0</v>
      </c>
    </row>
    <row r="220" spans="1:14" x14ac:dyDescent="0.2">
      <c r="A220" s="1515" t="s">
        <v>298</v>
      </c>
      <c r="B220" s="606" t="s">
        <v>163</v>
      </c>
      <c r="C220" s="608"/>
      <c r="D220" s="466">
        <v>0</v>
      </c>
      <c r="E220" s="608"/>
      <c r="F220" s="608"/>
      <c r="G220" s="608"/>
      <c r="H220" s="608"/>
      <c r="I220" s="608"/>
      <c r="J220" s="608"/>
      <c r="K220" s="1682">
        <f t="shared" si="19"/>
        <v>0</v>
      </c>
      <c r="L220" s="466">
        <v>0</v>
      </c>
    </row>
    <row r="221" spans="1:14" x14ac:dyDescent="0.2">
      <c r="A221" s="1515" t="s">
        <v>1019</v>
      </c>
      <c r="B221" s="606">
        <v>1300</v>
      </c>
      <c r="C221" s="608"/>
      <c r="D221" s="466">
        <v>0</v>
      </c>
      <c r="E221" s="608"/>
      <c r="F221" s="608"/>
      <c r="G221" s="608"/>
      <c r="H221" s="608"/>
      <c r="I221" s="608"/>
      <c r="J221" s="608"/>
      <c r="K221" s="1682">
        <f t="shared" si="19"/>
        <v>0</v>
      </c>
      <c r="L221" s="466">
        <v>0</v>
      </c>
    </row>
    <row r="222" spans="1:14" x14ac:dyDescent="0.2">
      <c r="A222" s="1515" t="s">
        <v>747</v>
      </c>
      <c r="B222" s="606">
        <v>1400</v>
      </c>
      <c r="C222" s="608"/>
      <c r="D222" s="466">
        <v>0</v>
      </c>
      <c r="E222" s="608"/>
      <c r="F222" s="608"/>
      <c r="G222" s="608"/>
      <c r="H222" s="608"/>
      <c r="I222" s="608"/>
      <c r="J222" s="608"/>
      <c r="K222" s="1682">
        <f t="shared" si="19"/>
        <v>0</v>
      </c>
      <c r="L222" s="466">
        <v>0</v>
      </c>
    </row>
    <row r="223" spans="1:14" x14ac:dyDescent="0.2">
      <c r="A223" s="1515" t="s">
        <v>1020</v>
      </c>
      <c r="B223" s="606">
        <v>1500</v>
      </c>
      <c r="C223" s="608"/>
      <c r="D223" s="466">
        <v>0</v>
      </c>
      <c r="E223" s="608"/>
      <c r="F223" s="608"/>
      <c r="G223" s="608"/>
      <c r="H223" s="608"/>
      <c r="I223" s="608"/>
      <c r="J223" s="608"/>
      <c r="K223" s="1682">
        <f t="shared" si="19"/>
        <v>0</v>
      </c>
      <c r="L223" s="466">
        <v>0</v>
      </c>
    </row>
    <row r="224" spans="1:14" x14ac:dyDescent="0.2">
      <c r="A224" s="1515" t="s">
        <v>1021</v>
      </c>
      <c r="B224" s="606">
        <v>1600</v>
      </c>
      <c r="C224" s="608"/>
      <c r="D224" s="466">
        <v>0</v>
      </c>
      <c r="E224" s="608"/>
      <c r="F224" s="608"/>
      <c r="G224" s="608"/>
      <c r="H224" s="608"/>
      <c r="I224" s="608"/>
      <c r="J224" s="608"/>
      <c r="K224" s="1682">
        <f t="shared" si="19"/>
        <v>0</v>
      </c>
      <c r="L224" s="466">
        <v>0</v>
      </c>
    </row>
    <row r="225" spans="1:12" x14ac:dyDescent="0.2">
      <c r="A225" s="1515" t="s">
        <v>1044</v>
      </c>
      <c r="B225" s="606">
        <v>1650</v>
      </c>
      <c r="C225" s="608"/>
      <c r="D225" s="466">
        <v>0</v>
      </c>
      <c r="E225" s="608"/>
      <c r="F225" s="608"/>
      <c r="G225" s="608"/>
      <c r="H225" s="608"/>
      <c r="I225" s="608"/>
      <c r="J225" s="608"/>
      <c r="K225" s="1682">
        <f t="shared" si="19"/>
        <v>0</v>
      </c>
      <c r="L225" s="466">
        <v>0</v>
      </c>
    </row>
    <row r="226" spans="1:12" x14ac:dyDescent="0.2">
      <c r="A226" s="1515" t="s">
        <v>748</v>
      </c>
      <c r="B226" s="606" t="s">
        <v>164</v>
      </c>
      <c r="C226" s="608"/>
      <c r="D226" s="466">
        <v>0</v>
      </c>
      <c r="E226" s="608"/>
      <c r="F226" s="608"/>
      <c r="G226" s="608"/>
      <c r="H226" s="608"/>
      <c r="I226" s="608"/>
      <c r="J226" s="608"/>
      <c r="K226" s="1682">
        <f t="shared" si="19"/>
        <v>0</v>
      </c>
      <c r="L226" s="466">
        <v>0</v>
      </c>
    </row>
    <row r="227" spans="1:12" x14ac:dyDescent="0.2">
      <c r="A227" s="1515" t="s">
        <v>1148</v>
      </c>
      <c r="B227" s="606">
        <v>1800</v>
      </c>
      <c r="C227" s="608"/>
      <c r="D227" s="466">
        <v>0</v>
      </c>
      <c r="E227" s="608"/>
      <c r="F227" s="608"/>
      <c r="G227" s="608"/>
      <c r="H227" s="608"/>
      <c r="I227" s="608"/>
      <c r="J227" s="608"/>
      <c r="K227" s="1682">
        <f t="shared" si="19"/>
        <v>0</v>
      </c>
      <c r="L227" s="466">
        <v>0</v>
      </c>
    </row>
    <row r="228" spans="1:12" x14ac:dyDescent="0.2">
      <c r="A228" s="1515" t="s">
        <v>1149</v>
      </c>
      <c r="B228" s="606">
        <v>1900</v>
      </c>
      <c r="C228" s="608"/>
      <c r="D228" s="466">
        <v>0</v>
      </c>
      <c r="E228" s="608"/>
      <c r="F228" s="608"/>
      <c r="G228" s="608"/>
      <c r="H228" s="608"/>
      <c r="I228" s="608"/>
      <c r="J228" s="608"/>
      <c r="K228" s="1682">
        <f t="shared" si="19"/>
        <v>0</v>
      </c>
      <c r="L228" s="466">
        <v>0</v>
      </c>
    </row>
    <row r="229" spans="1:12" ht="12.75" customHeight="1" thickBot="1" x14ac:dyDescent="0.25">
      <c r="A229" s="1679" t="s">
        <v>739</v>
      </c>
      <c r="B229" s="1686" t="s">
        <v>591</v>
      </c>
      <c r="C229" s="608"/>
      <c r="D229" s="1681">
        <f>SUM(D215:D228)</f>
        <v>0</v>
      </c>
      <c r="E229" s="608"/>
      <c r="F229" s="608"/>
      <c r="G229" s="608"/>
      <c r="H229" s="608"/>
      <c r="I229" s="608"/>
      <c r="J229" s="608"/>
      <c r="K229" s="1681">
        <f>SUM(K215:K228)</f>
        <v>0</v>
      </c>
      <c r="L229" s="1681">
        <f>SUM(L215:L228)</f>
        <v>0</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0</v>
      </c>
      <c r="E232" s="608"/>
      <c r="F232" s="608"/>
      <c r="G232" s="608"/>
      <c r="H232" s="608"/>
      <c r="I232" s="608"/>
      <c r="J232" s="608"/>
      <c r="K232" s="1682">
        <f t="shared" ref="K232:K237" si="20">D232</f>
        <v>0</v>
      </c>
      <c r="L232" s="466">
        <v>0</v>
      </c>
    </row>
    <row r="233" spans="1:12" x14ac:dyDescent="0.2">
      <c r="A233" s="1515" t="s">
        <v>1151</v>
      </c>
      <c r="B233" s="606">
        <v>2120</v>
      </c>
      <c r="C233" s="608"/>
      <c r="D233" s="466">
        <v>0</v>
      </c>
      <c r="E233" s="608"/>
      <c r="F233" s="608"/>
      <c r="G233" s="608"/>
      <c r="H233" s="608"/>
      <c r="I233" s="608"/>
      <c r="J233" s="608"/>
      <c r="K233" s="1682">
        <f t="shared" si="20"/>
        <v>0</v>
      </c>
      <c r="L233" s="466">
        <v>0</v>
      </c>
    </row>
    <row r="234" spans="1:12" x14ac:dyDescent="0.2">
      <c r="A234" s="1515" t="s">
        <v>207</v>
      </c>
      <c r="B234" s="606">
        <v>2130</v>
      </c>
      <c r="C234" s="608"/>
      <c r="D234" s="466">
        <v>0</v>
      </c>
      <c r="E234" s="608"/>
      <c r="F234" s="608"/>
      <c r="G234" s="608"/>
      <c r="H234" s="608"/>
      <c r="I234" s="608"/>
      <c r="J234" s="608"/>
      <c r="K234" s="1682">
        <f t="shared" si="20"/>
        <v>0</v>
      </c>
      <c r="L234" s="466">
        <v>0</v>
      </c>
    </row>
    <row r="235" spans="1:12" x14ac:dyDescent="0.2">
      <c r="A235" s="1515" t="s">
        <v>208</v>
      </c>
      <c r="B235" s="606">
        <v>2140</v>
      </c>
      <c r="C235" s="608"/>
      <c r="D235" s="466">
        <v>0</v>
      </c>
      <c r="E235" s="608"/>
      <c r="F235" s="608"/>
      <c r="G235" s="608"/>
      <c r="H235" s="608"/>
      <c r="I235" s="608"/>
      <c r="J235" s="608"/>
      <c r="K235" s="1682">
        <f t="shared" si="20"/>
        <v>0</v>
      </c>
      <c r="L235" s="466">
        <v>0</v>
      </c>
    </row>
    <row r="236" spans="1:12" x14ac:dyDescent="0.2">
      <c r="A236" s="1515" t="s">
        <v>209</v>
      </c>
      <c r="B236" s="606">
        <v>2150</v>
      </c>
      <c r="C236" s="608"/>
      <c r="D236" s="466">
        <v>0</v>
      </c>
      <c r="E236" s="608"/>
      <c r="F236" s="608"/>
      <c r="G236" s="608"/>
      <c r="H236" s="608"/>
      <c r="I236" s="608"/>
      <c r="J236" s="608"/>
      <c r="K236" s="1682">
        <f t="shared" si="20"/>
        <v>0</v>
      </c>
      <c r="L236" s="466">
        <v>0</v>
      </c>
    </row>
    <row r="237" spans="1:12" x14ac:dyDescent="0.2">
      <c r="A237" s="1515" t="s">
        <v>167</v>
      </c>
      <c r="B237" s="606">
        <v>2190</v>
      </c>
      <c r="C237" s="608"/>
      <c r="D237" s="466">
        <v>0</v>
      </c>
      <c r="E237" s="608"/>
      <c r="F237" s="608"/>
      <c r="G237" s="608"/>
      <c r="H237" s="608"/>
      <c r="I237" s="608"/>
      <c r="J237" s="608"/>
      <c r="K237" s="1682">
        <f t="shared" si="20"/>
        <v>0</v>
      </c>
      <c r="L237" s="466">
        <v>0</v>
      </c>
    </row>
    <row r="238" spans="1:12" ht="12.75" customHeight="1" thickBot="1" x14ac:dyDescent="0.25">
      <c r="A238" s="1679" t="s">
        <v>581</v>
      </c>
      <c r="B238" s="1686" t="s">
        <v>740</v>
      </c>
      <c r="C238" s="608"/>
      <c r="D238" s="1681">
        <f>SUM(D232:D237)</f>
        <v>0</v>
      </c>
      <c r="E238" s="608"/>
      <c r="F238" s="608"/>
      <c r="G238" s="608"/>
      <c r="H238" s="608"/>
      <c r="I238" s="608"/>
      <c r="J238" s="608"/>
      <c r="K238" s="1681">
        <f>SUM(K232:K237)</f>
        <v>0</v>
      </c>
      <c r="L238" s="1681">
        <f>SUM(L232:L237)</f>
        <v>0</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0</v>
      </c>
      <c r="E240" s="608"/>
      <c r="F240" s="608"/>
      <c r="G240" s="608"/>
      <c r="H240" s="608"/>
      <c r="I240" s="608"/>
      <c r="J240" s="608"/>
      <c r="K240" s="1683">
        <f>D240</f>
        <v>0</v>
      </c>
      <c r="L240" s="466">
        <v>0</v>
      </c>
    </row>
    <row r="241" spans="1:12" x14ac:dyDescent="0.2">
      <c r="A241" s="1515" t="s">
        <v>869</v>
      </c>
      <c r="B241" s="606">
        <v>2220</v>
      </c>
      <c r="C241" s="608"/>
      <c r="D241" s="466">
        <v>0</v>
      </c>
      <c r="E241" s="608"/>
      <c r="F241" s="608"/>
      <c r="G241" s="608"/>
      <c r="H241" s="608"/>
      <c r="I241" s="608"/>
      <c r="J241" s="608"/>
      <c r="K241" s="1683">
        <f>D241</f>
        <v>0</v>
      </c>
      <c r="L241" s="466">
        <v>0</v>
      </c>
    </row>
    <row r="242" spans="1:12" x14ac:dyDescent="0.2">
      <c r="A242" s="1515" t="s">
        <v>870</v>
      </c>
      <c r="B242" s="606">
        <v>2230</v>
      </c>
      <c r="C242" s="608"/>
      <c r="D242" s="466">
        <v>0</v>
      </c>
      <c r="E242" s="608"/>
      <c r="F242" s="608"/>
      <c r="G242" s="608"/>
      <c r="H242" s="608"/>
      <c r="I242" s="608"/>
      <c r="J242" s="608"/>
      <c r="K242" s="1683">
        <f>D242</f>
        <v>0</v>
      </c>
      <c r="L242" s="466">
        <v>0</v>
      </c>
    </row>
    <row r="243" spans="1:12" ht="12.75" customHeight="1" thickBot="1" x14ac:dyDescent="0.25">
      <c r="A243" s="1705" t="s">
        <v>582</v>
      </c>
      <c r="B243" s="1706">
        <v>2200</v>
      </c>
      <c r="C243" s="608"/>
      <c r="D243" s="1681">
        <f>SUM(D240:D242)</f>
        <v>0</v>
      </c>
      <c r="E243" s="608"/>
      <c r="F243" s="608"/>
      <c r="G243" s="608"/>
      <c r="H243" s="608"/>
      <c r="I243" s="608"/>
      <c r="J243" s="608"/>
      <c r="K243" s="1681">
        <f>SUM(K240:K242)</f>
        <v>0</v>
      </c>
      <c r="L243" s="1681">
        <f>SUM(L240:L242)</f>
        <v>0</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0</v>
      </c>
      <c r="E245" s="608"/>
      <c r="F245" s="608"/>
      <c r="G245" s="608"/>
      <c r="H245" s="608"/>
      <c r="I245" s="608"/>
      <c r="J245" s="608"/>
      <c r="K245" s="1683">
        <f>D245</f>
        <v>0</v>
      </c>
      <c r="L245" s="466">
        <v>0</v>
      </c>
    </row>
    <row r="246" spans="1:12" x14ac:dyDescent="0.2">
      <c r="A246" s="1515" t="s">
        <v>872</v>
      </c>
      <c r="B246" s="606">
        <v>2320</v>
      </c>
      <c r="C246" s="608"/>
      <c r="D246" s="466">
        <v>0</v>
      </c>
      <c r="E246" s="608"/>
      <c r="F246" s="608"/>
      <c r="G246" s="608"/>
      <c r="H246" s="608"/>
      <c r="I246" s="608"/>
      <c r="J246" s="608"/>
      <c r="K246" s="1683">
        <f t="shared" ref="K246:K256" si="21">D246</f>
        <v>0</v>
      </c>
      <c r="L246" s="466">
        <v>0</v>
      </c>
    </row>
    <row r="247" spans="1:12" x14ac:dyDescent="0.2">
      <c r="A247" s="1515" t="s">
        <v>873</v>
      </c>
      <c r="B247" s="606">
        <v>2330</v>
      </c>
      <c r="C247" s="608"/>
      <c r="D247" s="466">
        <v>0</v>
      </c>
      <c r="E247" s="608"/>
      <c r="F247" s="608"/>
      <c r="G247" s="608"/>
      <c r="H247" s="608"/>
      <c r="I247" s="608"/>
      <c r="J247" s="608"/>
      <c r="K247" s="1683">
        <f t="shared" si="21"/>
        <v>0</v>
      </c>
      <c r="L247" s="466">
        <v>0</v>
      </c>
    </row>
    <row r="248" spans="1:12" x14ac:dyDescent="0.2">
      <c r="A248" s="1516" t="s">
        <v>317</v>
      </c>
      <c r="B248" s="594" t="s">
        <v>299</v>
      </c>
      <c r="C248" s="608"/>
      <c r="D248" s="466">
        <v>0</v>
      </c>
      <c r="E248" s="608"/>
      <c r="F248" s="608"/>
      <c r="G248" s="608"/>
      <c r="H248" s="608"/>
      <c r="I248" s="608"/>
      <c r="J248" s="608"/>
      <c r="K248" s="1683">
        <f t="shared" si="21"/>
        <v>0</v>
      </c>
      <c r="L248" s="466">
        <v>0</v>
      </c>
    </row>
    <row r="249" spans="1:12" x14ac:dyDescent="0.2">
      <c r="A249" s="1517" t="s">
        <v>1908</v>
      </c>
      <c r="B249" s="674" t="s">
        <v>300</v>
      </c>
      <c r="C249" s="608"/>
      <c r="D249" s="466">
        <v>0</v>
      </c>
      <c r="E249" s="608"/>
      <c r="F249" s="608"/>
      <c r="G249" s="608"/>
      <c r="H249" s="608"/>
      <c r="I249" s="608"/>
      <c r="J249" s="608"/>
      <c r="K249" s="1683">
        <f t="shared" si="21"/>
        <v>0</v>
      </c>
      <c r="L249" s="466">
        <v>0</v>
      </c>
    </row>
    <row r="250" spans="1:12" x14ac:dyDescent="0.2">
      <c r="A250" s="1516" t="s">
        <v>1909</v>
      </c>
      <c r="B250" s="594" t="s">
        <v>301</v>
      </c>
      <c r="C250" s="608"/>
      <c r="D250" s="466">
        <v>0</v>
      </c>
      <c r="E250" s="608"/>
      <c r="F250" s="608"/>
      <c r="G250" s="608"/>
      <c r="H250" s="608"/>
      <c r="I250" s="608"/>
      <c r="J250" s="608"/>
      <c r="K250" s="1683">
        <f t="shared" si="21"/>
        <v>0</v>
      </c>
      <c r="L250" s="466">
        <v>0</v>
      </c>
    </row>
    <row r="251" spans="1:12" x14ac:dyDescent="0.2">
      <c r="A251" s="1516" t="s">
        <v>256</v>
      </c>
      <c r="B251" s="594" t="s">
        <v>302</v>
      </c>
      <c r="C251" s="608"/>
      <c r="D251" s="466">
        <v>0</v>
      </c>
      <c r="E251" s="608"/>
      <c r="F251" s="608"/>
      <c r="G251" s="608"/>
      <c r="H251" s="608"/>
      <c r="I251" s="608"/>
      <c r="J251" s="608"/>
      <c r="K251" s="1683">
        <f t="shared" si="21"/>
        <v>0</v>
      </c>
      <c r="L251" s="466">
        <v>0</v>
      </c>
    </row>
    <row r="252" spans="1:12" x14ac:dyDescent="0.2">
      <c r="A252" s="1516" t="s">
        <v>726</v>
      </c>
      <c r="B252" s="594" t="s">
        <v>303</v>
      </c>
      <c r="C252" s="608"/>
      <c r="D252" s="466">
        <v>0</v>
      </c>
      <c r="E252" s="608"/>
      <c r="F252" s="608"/>
      <c r="G252" s="608"/>
      <c r="H252" s="608"/>
      <c r="I252" s="608"/>
      <c r="J252" s="608"/>
      <c r="K252" s="1683">
        <f t="shared" si="21"/>
        <v>0</v>
      </c>
      <c r="L252" s="466">
        <v>0</v>
      </c>
    </row>
    <row r="253" spans="1:12" x14ac:dyDescent="0.2">
      <c r="A253" s="1516" t="s">
        <v>257</v>
      </c>
      <c r="B253" s="594" t="s">
        <v>304</v>
      </c>
      <c r="C253" s="608"/>
      <c r="D253" s="466">
        <v>0</v>
      </c>
      <c r="E253" s="608"/>
      <c r="F253" s="608"/>
      <c r="G253" s="608"/>
      <c r="H253" s="608"/>
      <c r="I253" s="608"/>
      <c r="J253" s="608"/>
      <c r="K253" s="1683">
        <f t="shared" si="21"/>
        <v>0</v>
      </c>
      <c r="L253" s="466">
        <v>0</v>
      </c>
    </row>
    <row r="254" spans="1:12" ht="22.5" x14ac:dyDescent="0.2">
      <c r="A254" s="1516" t="s">
        <v>1087</v>
      </c>
      <c r="B254" s="674" t="s">
        <v>305</v>
      </c>
      <c r="C254" s="608"/>
      <c r="D254" s="466">
        <v>0</v>
      </c>
      <c r="E254" s="608"/>
      <c r="F254" s="608"/>
      <c r="G254" s="608"/>
      <c r="H254" s="608"/>
      <c r="I254" s="608"/>
      <c r="J254" s="608"/>
      <c r="K254" s="1683">
        <f t="shared" si="21"/>
        <v>0</v>
      </c>
      <c r="L254" s="466">
        <v>0</v>
      </c>
    </row>
    <row r="255" spans="1:12" x14ac:dyDescent="0.2">
      <c r="A255" s="1516" t="s">
        <v>1088</v>
      </c>
      <c r="B255" s="594" t="s">
        <v>306</v>
      </c>
      <c r="C255" s="608"/>
      <c r="D255" s="466">
        <v>0</v>
      </c>
      <c r="E255" s="608"/>
      <c r="F255" s="608"/>
      <c r="G255" s="608"/>
      <c r="H255" s="608"/>
      <c r="I255" s="608"/>
      <c r="J255" s="608"/>
      <c r="K255" s="1683">
        <f t="shared" si="21"/>
        <v>0</v>
      </c>
      <c r="L255" s="466">
        <v>0</v>
      </c>
    </row>
    <row r="256" spans="1:12" x14ac:dyDescent="0.2">
      <c r="A256" s="1516" t="s">
        <v>1028</v>
      </c>
      <c r="B256" s="606" t="s">
        <v>307</v>
      </c>
      <c r="C256" s="608"/>
      <c r="D256" s="466">
        <v>0</v>
      </c>
      <c r="E256" s="608"/>
      <c r="F256" s="608"/>
      <c r="G256" s="608"/>
      <c r="H256" s="608"/>
      <c r="I256" s="608"/>
      <c r="J256" s="608"/>
      <c r="K256" s="1683">
        <f t="shared" si="21"/>
        <v>0</v>
      </c>
      <c r="L256" s="466">
        <v>0</v>
      </c>
    </row>
    <row r="257" spans="1:14" ht="12.75" customHeight="1" thickBot="1" x14ac:dyDescent="0.25">
      <c r="A257" s="1679" t="s">
        <v>741</v>
      </c>
      <c r="B257" s="1707">
        <v>2300</v>
      </c>
      <c r="C257" s="608"/>
      <c r="D257" s="1681">
        <f>SUM(D245:D256)</f>
        <v>0</v>
      </c>
      <c r="E257" s="608"/>
      <c r="F257" s="608"/>
      <c r="G257" s="608"/>
      <c r="H257" s="608"/>
      <c r="I257" s="608"/>
      <c r="J257" s="608"/>
      <c r="K257" s="1681">
        <f>SUM(K245:K256)</f>
        <v>0</v>
      </c>
      <c r="L257" s="1681">
        <f>SUM(L245:L256)</f>
        <v>0</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0</v>
      </c>
      <c r="E259" s="608"/>
      <c r="F259" s="608"/>
      <c r="G259" s="608"/>
      <c r="H259" s="608"/>
      <c r="I259" s="608"/>
      <c r="J259" s="608"/>
      <c r="K259" s="1683">
        <f>D259</f>
        <v>0</v>
      </c>
      <c r="L259" s="466">
        <v>0</v>
      </c>
    </row>
    <row r="260" spans="1:14" s="589" customFormat="1" x14ac:dyDescent="0.2">
      <c r="A260" s="1533" t="s">
        <v>1907</v>
      </c>
      <c r="B260" s="620">
        <v>2490</v>
      </c>
      <c r="C260" s="608"/>
      <c r="D260" s="466">
        <v>0</v>
      </c>
      <c r="E260" s="608"/>
      <c r="F260" s="608"/>
      <c r="G260" s="608"/>
      <c r="H260" s="608"/>
      <c r="I260" s="608"/>
      <c r="J260" s="608"/>
      <c r="K260" s="1683">
        <f>D260</f>
        <v>0</v>
      </c>
      <c r="L260" s="466">
        <v>0</v>
      </c>
      <c r="M260" s="210"/>
      <c r="N260" s="210"/>
    </row>
    <row r="261" spans="1:14" ht="12.75" customHeight="1" thickBot="1" x14ac:dyDescent="0.25">
      <c r="A261" s="1703" t="s">
        <v>281</v>
      </c>
      <c r="B261" s="1708" t="s">
        <v>34</v>
      </c>
      <c r="C261" s="608"/>
      <c r="D261" s="1681">
        <f>SUM(D259:D260)</f>
        <v>0</v>
      </c>
      <c r="E261" s="608"/>
      <c r="F261" s="608"/>
      <c r="G261" s="608"/>
      <c r="H261" s="608"/>
      <c r="I261" s="608"/>
      <c r="J261" s="608"/>
      <c r="K261" s="1681">
        <f>SUM(K259:K260)</f>
        <v>0</v>
      </c>
      <c r="L261" s="1681">
        <f>SUM(L259:L260)</f>
        <v>0</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0</v>
      </c>
      <c r="E263" s="608"/>
      <c r="F263" s="608"/>
      <c r="G263" s="608"/>
      <c r="H263" s="608"/>
      <c r="I263" s="608"/>
      <c r="J263" s="608"/>
      <c r="K263" s="1683">
        <f>D263</f>
        <v>0</v>
      </c>
      <c r="L263" s="466">
        <v>0</v>
      </c>
    </row>
    <row r="264" spans="1:14" x14ac:dyDescent="0.2">
      <c r="A264" s="1515" t="s">
        <v>483</v>
      </c>
      <c r="B264" s="676">
        <v>2520</v>
      </c>
      <c r="C264" s="608"/>
      <c r="D264" s="466">
        <v>0</v>
      </c>
      <c r="E264" s="608"/>
      <c r="F264" s="608"/>
      <c r="G264" s="608"/>
      <c r="H264" s="608"/>
      <c r="I264" s="608"/>
      <c r="J264" s="608"/>
      <c r="K264" s="1683">
        <f t="shared" ref="K264:K269" si="22">D264</f>
        <v>0</v>
      </c>
      <c r="L264" s="466">
        <v>0</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0</v>
      </c>
      <c r="E266" s="608"/>
      <c r="F266" s="608"/>
      <c r="G266" s="608"/>
      <c r="H266" s="608"/>
      <c r="I266" s="608"/>
      <c r="J266" s="608"/>
      <c r="K266" s="1683">
        <f t="shared" si="22"/>
        <v>0</v>
      </c>
      <c r="L266" s="466">
        <v>0</v>
      </c>
    </row>
    <row r="267" spans="1:14" x14ac:dyDescent="0.2">
      <c r="A267" s="1515" t="s">
        <v>1010</v>
      </c>
      <c r="B267" s="606">
        <v>2550</v>
      </c>
      <c r="C267" s="608"/>
      <c r="D267" s="466">
        <v>0</v>
      </c>
      <c r="E267" s="608"/>
      <c r="F267" s="608"/>
      <c r="G267" s="608"/>
      <c r="H267" s="608"/>
      <c r="I267" s="608"/>
      <c r="J267" s="608"/>
      <c r="K267" s="1683">
        <f t="shared" si="22"/>
        <v>0</v>
      </c>
      <c r="L267" s="466">
        <v>0</v>
      </c>
    </row>
    <row r="268" spans="1:14" x14ac:dyDescent="0.2">
      <c r="A268" s="1515" t="s">
        <v>102</v>
      </c>
      <c r="B268" s="606">
        <v>2560</v>
      </c>
      <c r="C268" s="608"/>
      <c r="D268" s="466">
        <v>0</v>
      </c>
      <c r="E268" s="608"/>
      <c r="F268" s="608"/>
      <c r="G268" s="608"/>
      <c r="H268" s="608"/>
      <c r="I268" s="608"/>
      <c r="J268" s="608"/>
      <c r="K268" s="1683">
        <f t="shared" si="22"/>
        <v>0</v>
      </c>
      <c r="L268" s="466">
        <v>0</v>
      </c>
    </row>
    <row r="269" spans="1:14" x14ac:dyDescent="0.2">
      <c r="A269" s="1515" t="s">
        <v>103</v>
      </c>
      <c r="B269" s="606">
        <v>2570</v>
      </c>
      <c r="C269" s="608"/>
      <c r="D269" s="466">
        <v>0</v>
      </c>
      <c r="E269" s="608"/>
      <c r="F269" s="608"/>
      <c r="G269" s="608"/>
      <c r="H269" s="608"/>
      <c r="I269" s="608"/>
      <c r="J269" s="608"/>
      <c r="K269" s="1683">
        <f t="shared" si="22"/>
        <v>0</v>
      </c>
      <c r="L269" s="466">
        <v>0</v>
      </c>
    </row>
    <row r="270" spans="1:14" ht="12.75" customHeight="1" thickBot="1" x14ac:dyDescent="0.25">
      <c r="A270" s="1679" t="s">
        <v>743</v>
      </c>
      <c r="B270" s="1686" t="s">
        <v>35</v>
      </c>
      <c r="C270" s="608"/>
      <c r="D270" s="1681">
        <f>SUM(D263:D269)</f>
        <v>0</v>
      </c>
      <c r="E270" s="608"/>
      <c r="F270" s="608"/>
      <c r="G270" s="608"/>
      <c r="H270" s="608"/>
      <c r="I270" s="608"/>
      <c r="J270" s="608"/>
      <c r="K270" s="1681">
        <f>SUM(K263:K269)</f>
        <v>0</v>
      </c>
      <c r="L270" s="1681">
        <f>SUM(L263:L269)</f>
        <v>0</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0</v>
      </c>
      <c r="E272" s="608"/>
      <c r="F272" s="608"/>
      <c r="G272" s="608"/>
      <c r="H272" s="608"/>
      <c r="I272" s="608"/>
      <c r="J272" s="608"/>
      <c r="K272" s="1683">
        <f>D272</f>
        <v>0</v>
      </c>
      <c r="L272" s="466">
        <v>0</v>
      </c>
    </row>
    <row r="273" spans="1:12" x14ac:dyDescent="0.2">
      <c r="A273" s="1515" t="s">
        <v>628</v>
      </c>
      <c r="B273" s="620">
        <v>2620</v>
      </c>
      <c r="C273" s="608"/>
      <c r="D273" s="466">
        <v>0</v>
      </c>
      <c r="E273" s="608"/>
      <c r="F273" s="608"/>
      <c r="G273" s="608"/>
      <c r="H273" s="608"/>
      <c r="I273" s="608"/>
      <c r="J273" s="608"/>
      <c r="K273" s="1683">
        <f>D273</f>
        <v>0</v>
      </c>
      <c r="L273" s="466">
        <v>0</v>
      </c>
    </row>
    <row r="274" spans="1:12" ht="12" customHeight="1" x14ac:dyDescent="0.2">
      <c r="A274" s="1515" t="s">
        <v>1121</v>
      </c>
      <c r="B274" s="606">
        <v>2630</v>
      </c>
      <c r="C274" s="608"/>
      <c r="D274" s="466">
        <v>0</v>
      </c>
      <c r="E274" s="608"/>
      <c r="F274" s="608"/>
      <c r="G274" s="608"/>
      <c r="H274" s="608"/>
      <c r="I274" s="608"/>
      <c r="J274" s="608"/>
      <c r="K274" s="1683">
        <f>D274</f>
        <v>0</v>
      </c>
      <c r="L274" s="466">
        <v>0</v>
      </c>
    </row>
    <row r="275" spans="1:12" x14ac:dyDescent="0.2">
      <c r="A275" s="1515" t="s">
        <v>423</v>
      </c>
      <c r="B275" s="606">
        <v>2640</v>
      </c>
      <c r="C275" s="608"/>
      <c r="D275" s="466">
        <v>0</v>
      </c>
      <c r="E275" s="608"/>
      <c r="F275" s="608"/>
      <c r="G275" s="608"/>
      <c r="H275" s="608"/>
      <c r="I275" s="608"/>
      <c r="J275" s="608"/>
      <c r="K275" s="1683">
        <f>D275</f>
        <v>0</v>
      </c>
      <c r="L275" s="466">
        <v>0</v>
      </c>
    </row>
    <row r="276" spans="1:12" x14ac:dyDescent="0.2">
      <c r="A276" s="1515" t="s">
        <v>424</v>
      </c>
      <c r="B276" s="606">
        <v>2660</v>
      </c>
      <c r="C276" s="608"/>
      <c r="D276" s="466">
        <v>0</v>
      </c>
      <c r="E276" s="608"/>
      <c r="F276" s="608"/>
      <c r="G276" s="608"/>
      <c r="H276" s="608"/>
      <c r="I276" s="608"/>
      <c r="J276" s="608"/>
      <c r="K276" s="1683">
        <f>D276</f>
        <v>0</v>
      </c>
      <c r="L276" s="466">
        <v>0</v>
      </c>
    </row>
    <row r="277" spans="1:12" ht="12.75" customHeight="1" thickBot="1" x14ac:dyDescent="0.25">
      <c r="A277" s="1702" t="s">
        <v>37</v>
      </c>
      <c r="B277" s="1680" t="s">
        <v>36</v>
      </c>
      <c r="C277" s="608"/>
      <c r="D277" s="1681">
        <f>SUM(D272:D276)</f>
        <v>0</v>
      </c>
      <c r="E277" s="608"/>
      <c r="F277" s="608"/>
      <c r="G277" s="608"/>
      <c r="H277" s="608"/>
      <c r="I277" s="608"/>
      <c r="J277" s="608"/>
      <c r="K277" s="1681">
        <f>SUM(K272:K276)</f>
        <v>0</v>
      </c>
      <c r="L277" s="1681">
        <f>SUM(L272:L276)</f>
        <v>0</v>
      </c>
    </row>
    <row r="278" spans="1:12" ht="13.5" customHeight="1" thickTop="1" x14ac:dyDescent="0.2">
      <c r="A278" s="1521" t="s">
        <v>1037</v>
      </c>
      <c r="B278" s="646" t="s">
        <v>595</v>
      </c>
      <c r="C278" s="608"/>
      <c r="D278" s="647">
        <v>0</v>
      </c>
      <c r="E278" s="608"/>
      <c r="F278" s="608"/>
      <c r="G278" s="608"/>
      <c r="H278" s="608"/>
      <c r="I278" s="608"/>
      <c r="J278" s="608"/>
      <c r="K278" s="1696">
        <f>D278</f>
        <v>0</v>
      </c>
      <c r="L278" s="647">
        <v>0</v>
      </c>
    </row>
    <row r="279" spans="1:12" ht="12.75" customHeight="1" thickBot="1" x14ac:dyDescent="0.25">
      <c r="A279" s="1709" t="s">
        <v>865</v>
      </c>
      <c r="B279" s="1692">
        <v>2000</v>
      </c>
      <c r="C279" s="608"/>
      <c r="D279" s="1688">
        <f>SUM(D238,D243,D257,D261,D270,D277,D278)</f>
        <v>0</v>
      </c>
      <c r="E279" s="608"/>
      <c r="F279" s="608"/>
      <c r="G279" s="608"/>
      <c r="H279" s="608"/>
      <c r="I279" s="608"/>
      <c r="J279" s="608"/>
      <c r="K279" s="1688">
        <f>SUM(K238,K243,K257,K261,K270,K277,K278)</f>
        <v>0</v>
      </c>
      <c r="L279" s="1688">
        <f>SUM(L238,L243,L257,L261,L270,L277,L278)</f>
        <v>0</v>
      </c>
    </row>
    <row r="280" spans="1:12" ht="15.75" customHeight="1" thickTop="1" thickBot="1" x14ac:dyDescent="0.25">
      <c r="A280" s="1635" t="s">
        <v>930</v>
      </c>
      <c r="B280" s="1624">
        <v>3000</v>
      </c>
      <c r="C280" s="608"/>
      <c r="D280" s="570">
        <v>0</v>
      </c>
      <c r="E280" s="608"/>
      <c r="F280" s="608"/>
      <c r="G280" s="608"/>
      <c r="H280" s="608"/>
      <c r="I280" s="608"/>
      <c r="J280" s="608"/>
      <c r="K280" s="1690">
        <f>D280</f>
        <v>0</v>
      </c>
      <c r="L280" s="570">
        <v>0</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2" t="s">
        <v>517</v>
      </c>
      <c r="B282" s="681" t="s">
        <v>1957</v>
      </c>
      <c r="C282" s="608"/>
      <c r="D282" s="466">
        <v>0</v>
      </c>
      <c r="E282" s="608"/>
      <c r="F282" s="608"/>
      <c r="G282" s="608"/>
      <c r="H282" s="608"/>
      <c r="I282" s="608"/>
      <c r="J282" s="608"/>
      <c r="K282" s="1682">
        <f>D282</f>
        <v>0</v>
      </c>
      <c r="L282" s="466">
        <v>0</v>
      </c>
    </row>
    <row r="283" spans="1:12" x14ac:dyDescent="0.2">
      <c r="A283" s="1515" t="s">
        <v>322</v>
      </c>
      <c r="B283" s="606">
        <v>4120</v>
      </c>
      <c r="C283" s="608"/>
      <c r="D283" s="466">
        <v>0</v>
      </c>
      <c r="E283" s="608"/>
      <c r="F283" s="608"/>
      <c r="G283" s="608"/>
      <c r="H283" s="608"/>
      <c r="I283" s="608"/>
      <c r="J283" s="608"/>
      <c r="K283" s="1682">
        <f>D283</f>
        <v>0</v>
      </c>
      <c r="L283" s="466">
        <v>0</v>
      </c>
    </row>
    <row r="284" spans="1:12" x14ac:dyDescent="0.2">
      <c r="A284" s="1515" t="s">
        <v>721</v>
      </c>
      <c r="B284" s="606">
        <v>4140</v>
      </c>
      <c r="C284" s="608"/>
      <c r="D284" s="466">
        <v>0</v>
      </c>
      <c r="E284" s="608"/>
      <c r="F284" s="608"/>
      <c r="G284" s="608"/>
      <c r="H284" s="608"/>
      <c r="I284" s="608"/>
      <c r="J284" s="608"/>
      <c r="K284" s="1682">
        <f>D284</f>
        <v>0</v>
      </c>
      <c r="L284" s="466">
        <v>0</v>
      </c>
    </row>
    <row r="285" spans="1:12" ht="12.75" customHeight="1" thickBot="1" x14ac:dyDescent="0.25">
      <c r="A285" s="1679" t="s">
        <v>1567</v>
      </c>
      <c r="B285" s="1680" t="s">
        <v>915</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1232</v>
      </c>
      <c r="B290" s="620" t="s">
        <v>638</v>
      </c>
      <c r="C290" s="608"/>
      <c r="D290" s="608"/>
      <c r="E290" s="608"/>
      <c r="F290" s="608"/>
      <c r="G290" s="608"/>
      <c r="H290" s="466">
        <v>0</v>
      </c>
      <c r="I290" s="608"/>
      <c r="J290" s="608"/>
      <c r="K290" s="1682">
        <f>H290</f>
        <v>0</v>
      </c>
      <c r="L290" s="466">
        <v>0</v>
      </c>
    </row>
    <row r="291" spans="1:14" x14ac:dyDescent="0.2">
      <c r="A291" s="1515" t="s">
        <v>91</v>
      </c>
      <c r="B291" s="606" t="s">
        <v>610</v>
      </c>
      <c r="C291" s="608"/>
      <c r="D291" s="608"/>
      <c r="E291" s="608"/>
      <c r="F291" s="608"/>
      <c r="G291" s="608"/>
      <c r="H291" s="466">
        <v>0</v>
      </c>
      <c r="I291" s="608"/>
      <c r="J291" s="608"/>
      <c r="K291" s="1682">
        <f>H291</f>
        <v>0</v>
      </c>
      <c r="L291" s="466">
        <v>0</v>
      </c>
    </row>
    <row r="292" spans="1:14" x14ac:dyDescent="0.2">
      <c r="A292" s="1515" t="s">
        <v>786</v>
      </c>
      <c r="B292" s="606" t="s">
        <v>639</v>
      </c>
      <c r="C292" s="608"/>
      <c r="D292" s="608"/>
      <c r="E292" s="608"/>
      <c r="F292" s="608"/>
      <c r="G292" s="608"/>
      <c r="H292" s="466">
        <v>0</v>
      </c>
      <c r="I292" s="608"/>
      <c r="J292" s="608"/>
      <c r="K292" s="1682">
        <f>H292</f>
        <v>0</v>
      </c>
      <c r="L292" s="466">
        <v>0</v>
      </c>
    </row>
    <row r="293" spans="1:14" ht="12.75" customHeight="1" thickBot="1" x14ac:dyDescent="0.25">
      <c r="A293" s="1679" t="s">
        <v>505</v>
      </c>
      <c r="B293" s="1680" t="s">
        <v>513</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182" t="s">
        <v>526</v>
      </c>
      <c r="B295" s="2183"/>
      <c r="C295" s="608"/>
      <c r="D295" s="1681">
        <f>SUM(D229,D279,D280,D285)</f>
        <v>0</v>
      </c>
      <c r="E295" s="608"/>
      <c r="F295" s="608"/>
      <c r="G295" s="608"/>
      <c r="H295" s="1681">
        <f>H293</f>
        <v>0</v>
      </c>
      <c r="I295" s="608"/>
      <c r="J295" s="608"/>
      <c r="K295" s="1681">
        <f>SUM(K229,K279,K280,K285,K293,K294)</f>
        <v>0</v>
      </c>
      <c r="L295" s="1681">
        <f>SUM(L229,L279,L280,L285,L293,L294)</f>
        <v>0</v>
      </c>
    </row>
    <row r="296" spans="1:14" ht="13.5" thickTop="1" x14ac:dyDescent="0.2">
      <c r="A296" s="2164" t="s">
        <v>1053</v>
      </c>
      <c r="B296" s="2165"/>
      <c r="C296" s="608"/>
      <c r="D296" s="610"/>
      <c r="E296" s="608"/>
      <c r="F296" s="608"/>
      <c r="G296" s="608"/>
      <c r="H296" s="678"/>
      <c r="I296" s="608"/>
      <c r="J296" s="608"/>
      <c r="K296" s="1695">
        <f>'Revenues 9-14'!G275-'Expenditures 15-22'!K295</f>
        <v>0</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174" t="s">
        <v>145</v>
      </c>
      <c r="B298" s="2168"/>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0</v>
      </c>
      <c r="F301" s="466">
        <v>0</v>
      </c>
      <c r="G301" s="466">
        <v>0</v>
      </c>
      <c r="H301" s="466">
        <v>0</v>
      </c>
      <c r="I301" s="466">
        <v>0</v>
      </c>
      <c r="J301" s="466">
        <v>0</v>
      </c>
      <c r="K301" s="1682">
        <f>SUM(C301:J301)</f>
        <v>0</v>
      </c>
      <c r="L301" s="466">
        <v>0</v>
      </c>
    </row>
    <row r="302" spans="1:14" ht="13.5" customHeight="1" x14ac:dyDescent="0.2">
      <c r="A302" s="1528" t="s">
        <v>1037</v>
      </c>
      <c r="B302" s="606" t="s">
        <v>595</v>
      </c>
      <c r="C302" s="466">
        <v>0</v>
      </c>
      <c r="D302" s="466">
        <v>0</v>
      </c>
      <c r="E302" s="466">
        <v>0</v>
      </c>
      <c r="F302" s="466">
        <v>0</v>
      </c>
      <c r="G302" s="466">
        <v>0</v>
      </c>
      <c r="H302" s="466">
        <v>0</v>
      </c>
      <c r="I302" s="466">
        <v>0</v>
      </c>
      <c r="J302" s="466">
        <v>0</v>
      </c>
      <c r="K302" s="1682">
        <f>SUM(C302:J302)</f>
        <v>0</v>
      </c>
      <c r="L302" s="466">
        <v>0</v>
      </c>
    </row>
    <row r="303" spans="1:14" ht="12.75" customHeight="1" thickBot="1" x14ac:dyDescent="0.25">
      <c r="A303" s="1679" t="s">
        <v>865</v>
      </c>
      <c r="B303" s="1680" t="s">
        <v>590</v>
      </c>
      <c r="C303" s="1688">
        <f>SUM(C301:C302)</f>
        <v>0</v>
      </c>
      <c r="D303" s="1688">
        <f t="shared" ref="D303:L303" si="23">SUM(D301:D302)</f>
        <v>0</v>
      </c>
      <c r="E303" s="1688">
        <f t="shared" si="23"/>
        <v>0</v>
      </c>
      <c r="F303" s="1688">
        <f t="shared" si="23"/>
        <v>0</v>
      </c>
      <c r="G303" s="1688">
        <f t="shared" si="23"/>
        <v>0</v>
      </c>
      <c r="H303" s="1688">
        <f t="shared" si="23"/>
        <v>0</v>
      </c>
      <c r="I303" s="1688">
        <f t="shared" si="23"/>
        <v>0</v>
      </c>
      <c r="J303" s="1688">
        <f t="shared" si="23"/>
        <v>0</v>
      </c>
      <c r="K303" s="1688">
        <f t="shared" si="23"/>
        <v>0</v>
      </c>
      <c r="L303" s="1688">
        <f t="shared" si="23"/>
        <v>0</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1962</v>
      </c>
      <c r="B306" s="681" t="s">
        <v>1957</v>
      </c>
      <c r="C306" s="608"/>
      <c r="D306" s="608"/>
      <c r="E306" s="466">
        <v>0</v>
      </c>
      <c r="F306" s="608"/>
      <c r="G306" s="608"/>
      <c r="H306" s="466">
        <v>0</v>
      </c>
      <c r="I306" s="608"/>
      <c r="J306" s="608"/>
      <c r="K306" s="1682">
        <f>SUM(E306,H306)</f>
        <v>0</v>
      </c>
      <c r="L306" s="466">
        <v>0</v>
      </c>
    </row>
    <row r="307" spans="1:14" x14ac:dyDescent="0.2">
      <c r="A307" s="1515" t="s">
        <v>322</v>
      </c>
      <c r="B307" s="606">
        <v>4120</v>
      </c>
      <c r="C307" s="608"/>
      <c r="D307" s="608"/>
      <c r="E307" s="466">
        <v>0</v>
      </c>
      <c r="F307" s="608"/>
      <c r="G307" s="608"/>
      <c r="H307" s="466">
        <v>0</v>
      </c>
      <c r="I307" s="474"/>
      <c r="J307" s="608"/>
      <c r="K307" s="1682">
        <f>SUM(E307,H307)</f>
        <v>0</v>
      </c>
      <c r="L307" s="466">
        <v>0</v>
      </c>
    </row>
    <row r="308" spans="1:14" x14ac:dyDescent="0.2">
      <c r="A308" s="1515" t="s">
        <v>721</v>
      </c>
      <c r="B308" s="606">
        <v>4140</v>
      </c>
      <c r="C308" s="608"/>
      <c r="D308" s="608"/>
      <c r="E308" s="466">
        <v>0</v>
      </c>
      <c r="F308" s="608"/>
      <c r="G308" s="608"/>
      <c r="H308" s="466">
        <v>0</v>
      </c>
      <c r="I308" s="474"/>
      <c r="J308" s="608"/>
      <c r="K308" s="1682">
        <f>SUM(E308,H308)</f>
        <v>0</v>
      </c>
      <c r="L308" s="466">
        <v>0</v>
      </c>
    </row>
    <row r="309" spans="1:14" ht="12.75" customHeight="1" x14ac:dyDescent="0.2">
      <c r="A309" s="1519" t="s">
        <v>722</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1567</v>
      </c>
      <c r="B310" s="1686" t="s">
        <v>915</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179" t="s">
        <v>295</v>
      </c>
      <c r="B312" s="2180"/>
      <c r="C312" s="1681">
        <f>SUM(C303)</f>
        <v>0</v>
      </c>
      <c r="D312" s="1681">
        <f>SUM(D303)</f>
        <v>0</v>
      </c>
      <c r="E312" s="1681">
        <f>SUM(E303,E310)</f>
        <v>0</v>
      </c>
      <c r="F312" s="1681">
        <f>SUM(F303)</f>
        <v>0</v>
      </c>
      <c r="G312" s="1681">
        <f>SUM(G303)</f>
        <v>0</v>
      </c>
      <c r="H312" s="1681">
        <f>SUM(H303,H310)</f>
        <v>0</v>
      </c>
      <c r="I312" s="1681">
        <f>SUM(I303)</f>
        <v>0</v>
      </c>
      <c r="J312" s="1681">
        <f>SUM(J303)</f>
        <v>0</v>
      </c>
      <c r="K312" s="1681">
        <f>SUM(K303,K310,K311)</f>
        <v>0</v>
      </c>
      <c r="L312" s="1681">
        <f>SUM(L303,L310,L311)</f>
        <v>0</v>
      </c>
      <c r="M312" s="656"/>
      <c r="N312" s="656"/>
    </row>
    <row r="313" spans="1:14" ht="13.5" thickTop="1" x14ac:dyDescent="0.2">
      <c r="A313" s="2175" t="s">
        <v>1053</v>
      </c>
      <c r="B313" s="2176"/>
      <c r="C313" s="618"/>
      <c r="D313" s="618"/>
      <c r="E313" s="618"/>
      <c r="F313" s="618"/>
      <c r="G313" s="618"/>
      <c r="H313" s="618"/>
      <c r="I313" s="618"/>
      <c r="J313" s="618"/>
      <c r="K313" s="1696">
        <f>'Revenues 9-14'!H275-'Expenditures 15-22'!K312</f>
        <v>0</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188" t="s">
        <v>151</v>
      </c>
      <c r="B315" s="2189"/>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190" t="s">
        <v>954</v>
      </c>
      <c r="B317" s="2189"/>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1908</v>
      </c>
      <c r="B320" s="689" t="s">
        <v>300</v>
      </c>
      <c r="C320" s="466">
        <v>0</v>
      </c>
      <c r="D320" s="466">
        <v>0</v>
      </c>
      <c r="E320" s="466">
        <v>0</v>
      </c>
      <c r="F320" s="466">
        <v>0</v>
      </c>
      <c r="G320" s="466">
        <v>0</v>
      </c>
      <c r="H320" s="466">
        <v>0</v>
      </c>
      <c r="I320" s="466">
        <v>0</v>
      </c>
      <c r="J320" s="466">
        <v>0</v>
      </c>
      <c r="K320" s="1682">
        <f t="shared" ref="K320:K327" si="24">SUM(C320:J320)</f>
        <v>0</v>
      </c>
      <c r="L320" s="466">
        <v>0</v>
      </c>
      <c r="M320" s="656"/>
      <c r="N320" s="656"/>
    </row>
    <row r="321" spans="1:14" s="665" customFormat="1" x14ac:dyDescent="0.2">
      <c r="A321" s="1530" t="s">
        <v>318</v>
      </c>
      <c r="B321" s="688" t="s">
        <v>301</v>
      </c>
      <c r="C321" s="466">
        <v>0</v>
      </c>
      <c r="D321" s="466">
        <v>0</v>
      </c>
      <c r="E321" s="466">
        <v>0</v>
      </c>
      <c r="F321" s="466">
        <v>0</v>
      </c>
      <c r="G321" s="466">
        <v>0</v>
      </c>
      <c r="H321" s="466">
        <v>0</v>
      </c>
      <c r="I321" s="466">
        <v>0</v>
      </c>
      <c r="J321" s="466">
        <v>0</v>
      </c>
      <c r="K321" s="1682">
        <f t="shared" si="24"/>
        <v>0</v>
      </c>
      <c r="L321" s="466">
        <v>0</v>
      </c>
      <c r="M321" s="656"/>
      <c r="N321" s="656"/>
    </row>
    <row r="322" spans="1:14" s="665" customFormat="1" x14ac:dyDescent="0.2">
      <c r="A322" s="1530" t="s">
        <v>256</v>
      </c>
      <c r="B322" s="688" t="s">
        <v>302</v>
      </c>
      <c r="C322" s="466">
        <v>0</v>
      </c>
      <c r="D322" s="466">
        <v>0</v>
      </c>
      <c r="E322" s="466">
        <v>0</v>
      </c>
      <c r="F322" s="466">
        <v>0</v>
      </c>
      <c r="G322" s="466">
        <v>0</v>
      </c>
      <c r="H322" s="466">
        <v>0</v>
      </c>
      <c r="I322" s="466">
        <v>0</v>
      </c>
      <c r="J322" s="466">
        <v>0</v>
      </c>
      <c r="K322" s="1682">
        <f t="shared" si="24"/>
        <v>0</v>
      </c>
      <c r="L322" s="466">
        <v>0</v>
      </c>
      <c r="M322" s="656"/>
      <c r="N322" s="656"/>
    </row>
    <row r="323" spans="1:14" s="665" customFormat="1" x14ac:dyDescent="0.2">
      <c r="A323" s="1530" t="s">
        <v>726</v>
      </c>
      <c r="B323" s="688" t="s">
        <v>303</v>
      </c>
      <c r="C323" s="466">
        <v>0</v>
      </c>
      <c r="D323" s="466">
        <v>0</v>
      </c>
      <c r="E323" s="466">
        <v>0</v>
      </c>
      <c r="F323" s="466">
        <v>0</v>
      </c>
      <c r="G323" s="466">
        <v>0</v>
      </c>
      <c r="H323" s="466">
        <v>0</v>
      </c>
      <c r="I323" s="466">
        <v>0</v>
      </c>
      <c r="J323" s="466">
        <v>0</v>
      </c>
      <c r="K323" s="1682">
        <f t="shared" si="24"/>
        <v>0</v>
      </c>
      <c r="L323" s="466">
        <v>0</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2">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1028</v>
      </c>
      <c r="B327" s="688" t="s">
        <v>307</v>
      </c>
      <c r="C327" s="466">
        <v>0</v>
      </c>
      <c r="D327" s="466">
        <v>0</v>
      </c>
      <c r="E327" s="466">
        <v>0</v>
      </c>
      <c r="F327" s="466">
        <v>0</v>
      </c>
      <c r="G327" s="466">
        <v>0</v>
      </c>
      <c r="H327" s="466">
        <v>0</v>
      </c>
      <c r="I327" s="466">
        <v>0</v>
      </c>
      <c r="J327" s="466">
        <v>0</v>
      </c>
      <c r="K327" s="1682">
        <f t="shared" si="24"/>
        <v>0</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10">
        <f>SUM(C329:J329)</f>
        <v>0</v>
      </c>
      <c r="L329" s="466">
        <v>0</v>
      </c>
      <c r="M329" s="656"/>
      <c r="N329" s="656"/>
    </row>
    <row r="330" spans="1:14" s="665" customFormat="1" ht="12.75" customHeight="1" thickBot="1" x14ac:dyDescent="0.25">
      <c r="A330" s="1711" t="s">
        <v>741</v>
      </c>
      <c r="B330" s="1680" t="s">
        <v>590</v>
      </c>
      <c r="C330" s="1681">
        <f>SUM(C319:C329)</f>
        <v>0</v>
      </c>
      <c r="D330" s="1681">
        <f t="shared" ref="D330:J330" si="25">SUM(D319:D329)</f>
        <v>0</v>
      </c>
      <c r="E330" s="1681">
        <f t="shared" si="25"/>
        <v>0</v>
      </c>
      <c r="F330" s="1681">
        <f t="shared" si="25"/>
        <v>0</v>
      </c>
      <c r="G330" s="1681">
        <f t="shared" si="25"/>
        <v>0</v>
      </c>
      <c r="H330" s="1681">
        <f t="shared" si="25"/>
        <v>0</v>
      </c>
      <c r="I330" s="1681">
        <f t="shared" si="25"/>
        <v>0</v>
      </c>
      <c r="J330" s="1681">
        <f t="shared" si="25"/>
        <v>0</v>
      </c>
      <c r="K330" s="1681">
        <f>SUM(K319:K329)</f>
        <v>0</v>
      </c>
      <c r="L330" s="1681">
        <f>SUM(L319:L329)</f>
        <v>0</v>
      </c>
      <c r="M330" s="656"/>
      <c r="N330" s="656"/>
    </row>
    <row r="331" spans="1:14" s="665" customFormat="1" ht="12.75" customHeight="1" thickTop="1" x14ac:dyDescent="0.2">
      <c r="A331" s="1843" t="s">
        <v>1963</v>
      </c>
      <c r="B331" s="638" t="s">
        <v>915</v>
      </c>
      <c r="C331" s="1845"/>
      <c r="D331" s="1845"/>
      <c r="E331" s="1845"/>
      <c r="F331" s="1845"/>
      <c r="G331" s="1845"/>
      <c r="H331" s="1845"/>
      <c r="I331" s="1845"/>
      <c r="J331" s="1845"/>
      <c r="K331" s="1845"/>
      <c r="L331" s="1845"/>
      <c r="M331" s="656"/>
      <c r="N331" s="656"/>
    </row>
    <row r="332" spans="1:14" s="665" customFormat="1" ht="12.75" customHeight="1" x14ac:dyDescent="0.2">
      <c r="A332" s="1844" t="s">
        <v>517</v>
      </c>
      <c r="B332" s="1839" t="s">
        <v>1957</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322</v>
      </c>
      <c r="B333" s="1839" t="s">
        <v>1959</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1964</v>
      </c>
      <c r="B334" s="1839" t="s">
        <v>915</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2">
        <f>H337</f>
        <v>0</v>
      </c>
      <c r="L337" s="466">
        <v>0</v>
      </c>
    </row>
    <row r="338" spans="1:14" ht="12.75" customHeight="1" x14ac:dyDescent="0.2">
      <c r="A338" s="1529" t="s">
        <v>1232</v>
      </c>
      <c r="B338" s="681" t="s">
        <v>638</v>
      </c>
      <c r="C338" s="629"/>
      <c r="D338" s="629"/>
      <c r="E338" s="629"/>
      <c r="F338" s="629"/>
      <c r="G338" s="629"/>
      <c r="H338" s="466">
        <v>0</v>
      </c>
      <c r="I338" s="629"/>
      <c r="J338" s="629"/>
      <c r="K338" s="1682">
        <f>H338</f>
        <v>0</v>
      </c>
      <c r="L338" s="466">
        <v>0</v>
      </c>
    </row>
    <row r="339" spans="1:14" x14ac:dyDescent="0.2">
      <c r="A339" s="1515" t="s">
        <v>957</v>
      </c>
      <c r="B339" s="620">
        <v>5150</v>
      </c>
      <c r="C339" s="629"/>
      <c r="D339" s="629"/>
      <c r="E339" s="629"/>
      <c r="F339" s="629"/>
      <c r="G339" s="629"/>
      <c r="H339" s="466">
        <v>0</v>
      </c>
      <c r="I339" s="629"/>
      <c r="J339" s="629"/>
      <c r="K339" s="1682">
        <f>H339</f>
        <v>0</v>
      </c>
      <c r="L339" s="466">
        <v>0</v>
      </c>
    </row>
    <row r="340" spans="1:14" ht="13.5" thickBot="1" x14ac:dyDescent="0.25">
      <c r="A340" s="1705" t="s">
        <v>958</v>
      </c>
      <c r="B340" s="1680" t="s">
        <v>513</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7" t="s">
        <v>526</v>
      </c>
      <c r="B342" s="1712"/>
      <c r="C342" s="1681">
        <f>SUM(C330)</f>
        <v>0</v>
      </c>
      <c r="D342" s="1681">
        <f>SUM(D330)</f>
        <v>0</v>
      </c>
      <c r="E342" s="1681">
        <f>SUM(E330)</f>
        <v>0</v>
      </c>
      <c r="F342" s="1681">
        <f>SUM(F330)</f>
        <v>0</v>
      </c>
      <c r="G342" s="1681">
        <f>SUM(G330)</f>
        <v>0</v>
      </c>
      <c r="H342" s="1681">
        <f>SUM(H330,H334,H340)</f>
        <v>0</v>
      </c>
      <c r="I342" s="1681">
        <f>SUM(I330)</f>
        <v>0</v>
      </c>
      <c r="J342" s="1681">
        <f>SUM(J330)</f>
        <v>0</v>
      </c>
      <c r="K342" s="1681">
        <f>SUM(K330,K334,K340)</f>
        <v>0</v>
      </c>
      <c r="L342" s="1688">
        <f>SUM(L330,L340,L341)</f>
        <v>0</v>
      </c>
    </row>
    <row r="343" spans="1:14" ht="12.75" customHeight="1" thickTop="1" x14ac:dyDescent="0.2">
      <c r="A343" s="2177" t="s">
        <v>1053</v>
      </c>
      <c r="B343" s="2178"/>
      <c r="C343" s="608"/>
      <c r="D343" s="608"/>
      <c r="E343" s="608"/>
      <c r="F343" s="608"/>
      <c r="G343" s="608"/>
      <c r="H343" s="608"/>
      <c r="I343" s="608"/>
      <c r="J343" s="608"/>
      <c r="K343" s="1695">
        <f>'Revenues 9-14'!J275-'Expenditures 15-22'!K342</f>
        <v>0</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167" t="s">
        <v>1023</v>
      </c>
      <c r="B345" s="2168"/>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2">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743</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645</v>
      </c>
      <c r="B352" s="1686" t="s">
        <v>590</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6" t="s">
        <v>1965</v>
      </c>
      <c r="B354" s="674" t="s">
        <v>1957</v>
      </c>
      <c r="C354" s="608"/>
      <c r="D354" s="608"/>
      <c r="E354" s="608"/>
      <c r="F354" s="608"/>
      <c r="G354" s="608"/>
      <c r="H354" s="466">
        <v>0</v>
      </c>
      <c r="I354" s="692"/>
      <c r="J354" s="608"/>
      <c r="K354" s="1710">
        <f>H354</f>
        <v>0</v>
      </c>
      <c r="L354" s="466">
        <v>0</v>
      </c>
    </row>
    <row r="355" spans="1:14" ht="12.75" customHeight="1" x14ac:dyDescent="0.2">
      <c r="A355" s="1524" t="s">
        <v>1966</v>
      </c>
      <c r="B355" s="681" t="s">
        <v>1959</v>
      </c>
      <c r="C355" s="608"/>
      <c r="D355" s="608"/>
      <c r="E355" s="608"/>
      <c r="F355" s="608"/>
      <c r="G355" s="608"/>
      <c r="H355" s="466">
        <v>0</v>
      </c>
      <c r="I355" s="692"/>
      <c r="J355" s="608"/>
      <c r="K355" s="1754">
        <f>H355</f>
        <v>0</v>
      </c>
      <c r="L355" s="466">
        <v>0</v>
      </c>
    </row>
    <row r="356" spans="1:14" ht="12.75" customHeight="1" x14ac:dyDescent="0.2">
      <c r="A356" s="1846" t="s">
        <v>722</v>
      </c>
      <c r="B356" s="674" t="s">
        <v>579</v>
      </c>
      <c r="C356" s="608"/>
      <c r="D356" s="608"/>
      <c r="E356" s="608"/>
      <c r="F356" s="608"/>
      <c r="G356" s="608"/>
      <c r="H356" s="466">
        <v>0</v>
      </c>
      <c r="I356" s="692"/>
      <c r="J356" s="608"/>
      <c r="K356" s="1751">
        <f>H356</f>
        <v>0</v>
      </c>
      <c r="L356" s="466">
        <v>0</v>
      </c>
    </row>
    <row r="357" spans="1:14" ht="12.75" customHeight="1" thickBot="1" x14ac:dyDescent="0.25">
      <c r="A357" s="1679" t="s">
        <v>1567</v>
      </c>
      <c r="B357" s="1680" t="s">
        <v>915</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640</v>
      </c>
      <c r="B361" s="594" t="s">
        <v>639</v>
      </c>
      <c r="C361" s="608"/>
      <c r="D361" s="608"/>
      <c r="E361" s="608"/>
      <c r="F361" s="608"/>
      <c r="G361" s="608"/>
      <c r="H361" s="466">
        <v>0</v>
      </c>
      <c r="I361" s="608"/>
      <c r="J361" s="608"/>
      <c r="K361" s="1682">
        <f>SUM(C361:J361)</f>
        <v>0</v>
      </c>
      <c r="L361" s="466">
        <v>0</v>
      </c>
    </row>
    <row r="362" spans="1:14" ht="12.75" customHeight="1" thickBot="1" x14ac:dyDescent="0.25">
      <c r="A362" s="1679" t="s">
        <v>647</v>
      </c>
      <c r="B362" s="1680" t="s">
        <v>742</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611</v>
      </c>
      <c r="B365" s="650" t="s">
        <v>513</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3" t="s">
        <v>526</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164" t="s">
        <v>1053</v>
      </c>
      <c r="B368" s="2165"/>
      <c r="C368" s="645"/>
      <c r="D368" s="645"/>
      <c r="E368" s="618"/>
      <c r="F368" s="618"/>
      <c r="G368" s="618"/>
      <c r="H368" s="618"/>
      <c r="I368" s="618"/>
      <c r="J368" s="615"/>
      <c r="K368" s="1682">
        <f>'Revenues 9-14'!K275-'Expenditures 15-22'!K367</f>
        <v>0</v>
      </c>
      <c r="L368" s="64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M1"/>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191" t="s">
        <v>1905</v>
      </c>
      <c r="B2" s="1539" t="s">
        <v>2037</v>
      </c>
      <c r="C2" s="704" t="s">
        <v>1910</v>
      </c>
      <c r="D2" s="704" t="s">
        <v>1911</v>
      </c>
      <c r="E2" s="704" t="s">
        <v>1912</v>
      </c>
      <c r="F2" s="704" t="s">
        <v>1913</v>
      </c>
    </row>
    <row r="3" spans="1:6" ht="12" customHeight="1" x14ac:dyDescent="0.2">
      <c r="A3" s="2192"/>
      <c r="B3" s="1536"/>
      <c r="C3" s="1537"/>
      <c r="D3" s="1538" t="s">
        <v>274</v>
      </c>
      <c r="E3" s="1537"/>
      <c r="F3" s="1538" t="s">
        <v>275</v>
      </c>
    </row>
    <row r="4" spans="1:6" ht="13.7" customHeight="1" x14ac:dyDescent="0.2">
      <c r="A4" s="705" t="s">
        <v>1217</v>
      </c>
      <c r="B4" s="1760">
        <f>'Revenues 9-14'!C5</f>
        <v>0</v>
      </c>
      <c r="C4" s="1535"/>
      <c r="D4" s="1763">
        <f>B4-C4</f>
        <v>0</v>
      </c>
      <c r="E4" s="1535"/>
      <c r="F4" s="1763">
        <f>E4-C4</f>
        <v>0</v>
      </c>
    </row>
    <row r="5" spans="1:6" ht="13.7" customHeight="1" x14ac:dyDescent="0.2">
      <c r="A5" s="705" t="s">
        <v>925</v>
      </c>
      <c r="B5" s="1761">
        <f>'Revenues 9-14'!D5</f>
        <v>0</v>
      </c>
      <c r="C5" s="578"/>
      <c r="D5" s="1764">
        <f t="shared" ref="D5:D18" si="0">B5-C5</f>
        <v>0</v>
      </c>
      <c r="E5" s="578"/>
      <c r="F5" s="1764">
        <f>E5-C5</f>
        <v>0</v>
      </c>
    </row>
    <row r="6" spans="1:6" ht="13.7" customHeight="1" x14ac:dyDescent="0.2">
      <c r="A6" s="705" t="s">
        <v>431</v>
      </c>
      <c r="B6" s="1761">
        <f>'Revenues 9-14'!E5</f>
        <v>0</v>
      </c>
      <c r="C6" s="578"/>
      <c r="D6" s="1764">
        <f t="shared" si="0"/>
        <v>0</v>
      </c>
      <c r="E6" s="578"/>
      <c r="F6" s="1764">
        <f t="shared" ref="F6:F18" si="1">E6-C6</f>
        <v>0</v>
      </c>
    </row>
    <row r="7" spans="1:6" ht="13.7" customHeight="1" x14ac:dyDescent="0.2">
      <c r="A7" s="705" t="s">
        <v>157</v>
      </c>
      <c r="B7" s="1761">
        <f>'Revenues 9-14'!F5</f>
        <v>0</v>
      </c>
      <c r="C7" s="578"/>
      <c r="D7" s="1764">
        <f t="shared" si="0"/>
        <v>0</v>
      </c>
      <c r="E7" s="578"/>
      <c r="F7" s="1764">
        <f t="shared" si="1"/>
        <v>0</v>
      </c>
    </row>
    <row r="8" spans="1:6" ht="13.7" customHeight="1" x14ac:dyDescent="0.2">
      <c r="A8" s="705" t="s">
        <v>1241</v>
      </c>
      <c r="B8" s="1761">
        <f>'Revenues 9-14'!G5</f>
        <v>0</v>
      </c>
      <c r="C8" s="578"/>
      <c r="D8" s="1764">
        <f t="shared" si="0"/>
        <v>0</v>
      </c>
      <c r="E8" s="578"/>
      <c r="F8" s="1764">
        <f t="shared" si="1"/>
        <v>0</v>
      </c>
    </row>
    <row r="9" spans="1:6" ht="13.7" customHeight="1" x14ac:dyDescent="0.2">
      <c r="A9" s="705" t="s">
        <v>428</v>
      </c>
      <c r="B9" s="1761">
        <f>'Revenues 9-14'!H5</f>
        <v>0</v>
      </c>
      <c r="C9" s="578"/>
      <c r="D9" s="1764">
        <f t="shared" si="0"/>
        <v>0</v>
      </c>
      <c r="E9" s="578"/>
      <c r="F9" s="1764">
        <f t="shared" si="1"/>
        <v>0</v>
      </c>
    </row>
    <row r="10" spans="1:6" ht="13.7" customHeight="1" x14ac:dyDescent="0.2">
      <c r="A10" s="705" t="s">
        <v>427</v>
      </c>
      <c r="B10" s="1761">
        <f>'Revenues 9-14'!I5</f>
        <v>0</v>
      </c>
      <c r="C10" s="578"/>
      <c r="D10" s="1764">
        <f t="shared" si="0"/>
        <v>0</v>
      </c>
      <c r="E10" s="578"/>
      <c r="F10" s="1764">
        <f t="shared" si="1"/>
        <v>0</v>
      </c>
    </row>
    <row r="11" spans="1:6" x14ac:dyDescent="0.2">
      <c r="A11" s="705" t="s">
        <v>429</v>
      </c>
      <c r="B11" s="1761">
        <f>'Revenues 9-14'!J5</f>
        <v>0</v>
      </c>
      <c r="C11" s="578"/>
      <c r="D11" s="1764">
        <f t="shared" si="0"/>
        <v>0</v>
      </c>
      <c r="E11" s="578"/>
      <c r="F11" s="1764">
        <f t="shared" si="1"/>
        <v>0</v>
      </c>
    </row>
    <row r="12" spans="1:6" ht="13.7" customHeight="1" x14ac:dyDescent="0.2">
      <c r="A12" s="705" t="s">
        <v>159</v>
      </c>
      <c r="B12" s="1761">
        <f>'Revenues 9-14'!K5</f>
        <v>0</v>
      </c>
      <c r="C12" s="578"/>
      <c r="D12" s="1764">
        <f t="shared" si="0"/>
        <v>0</v>
      </c>
      <c r="E12" s="578"/>
      <c r="F12" s="1764">
        <f t="shared" si="1"/>
        <v>0</v>
      </c>
    </row>
    <row r="13" spans="1:6" ht="13.7" customHeight="1" x14ac:dyDescent="0.2">
      <c r="A13" s="705" t="s">
        <v>993</v>
      </c>
      <c r="B13" s="1761">
        <f>SUM('Revenues 9-14'!C6:D6)</f>
        <v>0</v>
      </c>
      <c r="C13" s="578"/>
      <c r="D13" s="1764">
        <f t="shared" si="0"/>
        <v>0</v>
      </c>
      <c r="E13" s="578"/>
      <c r="F13" s="1764">
        <f t="shared" si="1"/>
        <v>0</v>
      </c>
    </row>
    <row r="14" spans="1:6" ht="13.7" customHeight="1" x14ac:dyDescent="0.2">
      <c r="A14" s="705" t="s">
        <v>430</v>
      </c>
      <c r="B14" s="1761">
        <f>SUM('Revenues 9-14'!C7:D7,'Revenues 9-14'!F7:H7)</f>
        <v>0</v>
      </c>
      <c r="C14" s="578"/>
      <c r="D14" s="1764">
        <f t="shared" si="0"/>
        <v>0</v>
      </c>
      <c r="E14" s="578"/>
      <c r="F14" s="1764">
        <f t="shared" si="1"/>
        <v>0</v>
      </c>
    </row>
    <row r="15" spans="1:6" ht="13.7" customHeight="1" x14ac:dyDescent="0.2">
      <c r="A15" s="705" t="s">
        <v>1220</v>
      </c>
      <c r="B15" s="1761">
        <f>'Revenues 9-14'!E9</f>
        <v>0</v>
      </c>
      <c r="C15" s="578"/>
      <c r="D15" s="1764">
        <f t="shared" si="0"/>
        <v>0</v>
      </c>
      <c r="E15" s="578"/>
      <c r="F15" s="1764">
        <f t="shared" si="1"/>
        <v>0</v>
      </c>
    </row>
    <row r="16" spans="1:6" ht="13.7" customHeight="1" x14ac:dyDescent="0.2">
      <c r="A16" s="705" t="s">
        <v>1221</v>
      </c>
      <c r="B16" s="1761">
        <f>'Revenues 9-14'!G8</f>
        <v>0</v>
      </c>
      <c r="C16" s="578"/>
      <c r="D16" s="1764">
        <f t="shared" si="0"/>
        <v>0</v>
      </c>
      <c r="E16" s="578"/>
      <c r="F16" s="1764">
        <f t="shared" si="1"/>
        <v>0</v>
      </c>
    </row>
    <row r="17" spans="1:6" ht="13.7" customHeight="1" x14ac:dyDescent="0.2">
      <c r="A17" s="705" t="s">
        <v>1222</v>
      </c>
      <c r="B17" s="1761">
        <f>'Revenues 9-14'!C10</f>
        <v>0</v>
      </c>
      <c r="C17" s="578"/>
      <c r="D17" s="1764">
        <f t="shared" si="0"/>
        <v>0</v>
      </c>
      <c r="E17" s="578"/>
      <c r="F17" s="1764">
        <f t="shared" si="1"/>
        <v>0</v>
      </c>
    </row>
    <row r="18" spans="1:6" ht="13.7" customHeight="1" x14ac:dyDescent="0.2">
      <c r="A18" s="705" t="s">
        <v>786</v>
      </c>
      <c r="B18" s="1761">
        <f>SUM('Revenues 9-14'!C11:K11)</f>
        <v>0</v>
      </c>
      <c r="C18" s="578"/>
      <c r="D18" s="1764">
        <f t="shared" si="0"/>
        <v>0</v>
      </c>
      <c r="E18" s="578"/>
      <c r="F18" s="1764">
        <f t="shared" si="1"/>
        <v>0</v>
      </c>
    </row>
    <row r="19" spans="1:6" ht="13.7" customHeight="1" thickBot="1" x14ac:dyDescent="0.25">
      <c r="A19" s="1765" t="s">
        <v>1223</v>
      </c>
      <c r="B19" s="1762">
        <f>SUM(B4:B18)</f>
        <v>0</v>
      </c>
      <c r="C19" s="1762">
        <f>SUM(C4:C18)</f>
        <v>0</v>
      </c>
      <c r="D19" s="1762">
        <f>SUM(D4:D18)</f>
        <v>0</v>
      </c>
      <c r="E19" s="1762">
        <f>SUM(E4:E18)</f>
        <v>0</v>
      </c>
      <c r="F19" s="1762">
        <f>SUM(F4:F18)</f>
        <v>0</v>
      </c>
    </row>
    <row r="20" spans="1:6" ht="13.5" thickTop="1" x14ac:dyDescent="0.2">
      <c r="B20" s="703"/>
      <c r="F20" s="706"/>
    </row>
    <row r="21" spans="1:6" x14ac:dyDescent="0.2">
      <c r="A21" s="707" t="s">
        <v>1915</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Normal="100" workbookViewId="0">
      <selection sqref="A1:M1"/>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650</v>
      </c>
      <c r="B1" s="2211"/>
      <c r="C1" s="711"/>
    </row>
    <row r="2" spans="1:7" ht="33.75" x14ac:dyDescent="0.2">
      <c r="A2" s="2218" t="s">
        <v>1905</v>
      </c>
      <c r="B2" s="2219"/>
      <c r="C2" s="1898" t="s">
        <v>2038</v>
      </c>
      <c r="D2" s="713" t="s">
        <v>2045</v>
      </c>
      <c r="E2" s="713" t="s">
        <v>2046</v>
      </c>
      <c r="F2" s="1898" t="s">
        <v>2039</v>
      </c>
    </row>
    <row r="3" spans="1:7" ht="15.75" customHeight="1" x14ac:dyDescent="0.2">
      <c r="A3" s="2220" t="s">
        <v>1176</v>
      </c>
      <c r="B3" s="2221"/>
      <c r="C3" s="2214"/>
      <c r="D3" s="2215"/>
      <c r="E3" s="2215"/>
      <c r="F3" s="2216"/>
    </row>
    <row r="4" spans="1:7" ht="12.75" customHeight="1" thickBot="1" x14ac:dyDescent="0.25">
      <c r="A4" s="2208" t="s">
        <v>651</v>
      </c>
      <c r="B4" s="2209"/>
      <c r="C4" s="575"/>
      <c r="D4" s="575"/>
      <c r="E4" s="575"/>
      <c r="F4" s="1766">
        <f>SUM(C4+D4)-E4</f>
        <v>0</v>
      </c>
    </row>
    <row r="5" spans="1:7" ht="15.75" customHeight="1" thickTop="1" x14ac:dyDescent="0.2">
      <c r="A5" s="2212" t="s">
        <v>1172</v>
      </c>
      <c r="B5" s="2207"/>
      <c r="C5" s="2201"/>
      <c r="D5" s="2202"/>
      <c r="E5" s="2202"/>
      <c r="F5" s="2203"/>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529</v>
      </c>
      <c r="B8" s="715"/>
      <c r="C8" s="716"/>
      <c r="D8" s="578"/>
      <c r="E8" s="716"/>
      <c r="F8" s="1766">
        <f t="shared" si="0"/>
        <v>0</v>
      </c>
    </row>
    <row r="9" spans="1:7" ht="12.75" customHeight="1" thickTop="1" thickBot="1" x14ac:dyDescent="0.25">
      <c r="A9" s="714" t="s">
        <v>530</v>
      </c>
      <c r="B9" s="715"/>
      <c r="C9" s="716"/>
      <c r="D9" s="578"/>
      <c r="E9" s="716"/>
      <c r="F9" s="1766">
        <f t="shared" si="0"/>
        <v>0</v>
      </c>
    </row>
    <row r="10" spans="1:7" ht="12.75" customHeight="1" thickTop="1" thickBot="1" x14ac:dyDescent="0.25">
      <c r="A10" s="714" t="s">
        <v>531</v>
      </c>
      <c r="B10" s="715"/>
      <c r="C10" s="716"/>
      <c r="D10" s="578"/>
      <c r="E10" s="716"/>
      <c r="F10" s="1766">
        <f t="shared" si="0"/>
        <v>0</v>
      </c>
    </row>
    <row r="11" spans="1:7" ht="12.75" customHeight="1" thickTop="1" thickBot="1" x14ac:dyDescent="0.25">
      <c r="A11" s="714" t="s">
        <v>359</v>
      </c>
      <c r="B11" s="715"/>
      <c r="C11" s="716"/>
      <c r="D11" s="578"/>
      <c r="E11" s="716"/>
      <c r="F11" s="1766">
        <f t="shared" si="0"/>
        <v>0</v>
      </c>
    </row>
    <row r="12" spans="1:7" ht="12.75" customHeight="1" thickTop="1" thickBot="1" x14ac:dyDescent="0.25">
      <c r="A12" s="714" t="s">
        <v>1219</v>
      </c>
      <c r="B12" s="715"/>
      <c r="C12" s="716"/>
      <c r="D12" s="578"/>
      <c r="E12" s="716"/>
      <c r="F12" s="1766">
        <f t="shared" si="0"/>
        <v>0</v>
      </c>
    </row>
    <row r="13" spans="1:7" ht="12.75" customHeight="1" thickTop="1" thickBot="1" x14ac:dyDescent="0.25">
      <c r="A13" s="714" t="s">
        <v>406</v>
      </c>
      <c r="B13" s="715"/>
      <c r="C13" s="716"/>
      <c r="D13" s="578"/>
      <c r="E13" s="716"/>
      <c r="F13" s="1766">
        <f t="shared" si="0"/>
        <v>0</v>
      </c>
    </row>
    <row r="14" spans="1:7" ht="12.75" customHeight="1" thickTop="1" thickBot="1" x14ac:dyDescent="0.25">
      <c r="A14" s="714" t="s">
        <v>468</v>
      </c>
      <c r="B14" s="715"/>
      <c r="C14" s="716"/>
      <c r="D14" s="578"/>
      <c r="E14" s="716"/>
      <c r="F14" s="1766">
        <f t="shared" si="0"/>
        <v>0</v>
      </c>
    </row>
    <row r="15" spans="1:7" ht="14.25" thickTop="1" thickBot="1" x14ac:dyDescent="0.25">
      <c r="A15" s="2204" t="s">
        <v>652</v>
      </c>
      <c r="B15" s="2205"/>
      <c r="C15" s="1766">
        <f>SUM(C6:C14)</f>
        <v>0</v>
      </c>
      <c r="D15" s="1766">
        <f>SUM(D6:D14)</f>
        <v>0</v>
      </c>
      <c r="E15" s="1766">
        <f>SUM(E6:E14)</f>
        <v>0</v>
      </c>
      <c r="F15" s="1766">
        <f>SUM(F6:F14)</f>
        <v>0</v>
      </c>
      <c r="G15" s="547"/>
    </row>
    <row r="16" spans="1:7" s="202" customFormat="1" ht="15.75" customHeight="1" thickTop="1" x14ac:dyDescent="0.2">
      <c r="A16" s="2217" t="s">
        <v>1173</v>
      </c>
      <c r="B16" s="2207"/>
      <c r="C16" s="2201"/>
      <c r="D16" s="2202"/>
      <c r="E16" s="2202"/>
      <c r="F16" s="2203"/>
    </row>
    <row r="17" spans="1:11" ht="12.75" customHeight="1" thickBot="1" x14ac:dyDescent="0.25">
      <c r="A17" s="2199" t="s">
        <v>66</v>
      </c>
      <c r="B17" s="2200"/>
      <c r="C17" s="716"/>
      <c r="D17" s="578"/>
      <c r="E17" s="716"/>
      <c r="F17" s="1766">
        <f>SUM(C17+D17)-E17</f>
        <v>0</v>
      </c>
    </row>
    <row r="18" spans="1:11" ht="12.75" customHeight="1" thickTop="1" thickBot="1" x14ac:dyDescent="0.25">
      <c r="A18" s="2199" t="s">
        <v>6</v>
      </c>
      <c r="B18" s="2200"/>
      <c r="C18" s="716"/>
      <c r="D18" s="578"/>
      <c r="E18" s="716"/>
      <c r="F18" s="1766">
        <f>SUM(C18+D18)-E18</f>
        <v>0</v>
      </c>
    </row>
    <row r="19" spans="1:11" ht="12.75" customHeight="1" thickTop="1" thickBot="1" x14ac:dyDescent="0.25">
      <c r="A19" s="2199" t="s">
        <v>406</v>
      </c>
      <c r="B19" s="2200"/>
      <c r="C19" s="716"/>
      <c r="D19" s="578"/>
      <c r="E19" s="716"/>
      <c r="F19" s="1766">
        <f>SUM(C19+D19)-E19</f>
        <v>0</v>
      </c>
    </row>
    <row r="20" spans="1:11" ht="12.75" customHeight="1" thickTop="1" thickBot="1" x14ac:dyDescent="0.25">
      <c r="A20" s="2199" t="s">
        <v>468</v>
      </c>
      <c r="B20" s="2200"/>
      <c r="C20" s="716"/>
      <c r="D20" s="578"/>
      <c r="E20" s="716"/>
      <c r="F20" s="1766">
        <f>SUM(C20+D20)-E20</f>
        <v>0</v>
      </c>
    </row>
    <row r="21" spans="1:11" ht="14.25" thickTop="1" thickBot="1" x14ac:dyDescent="0.25">
      <c r="A21" s="2204" t="s">
        <v>653</v>
      </c>
      <c r="B21" s="2205"/>
      <c r="C21" s="1766">
        <f>SUM(C17:C20)</f>
        <v>0</v>
      </c>
      <c r="D21" s="1766">
        <f>SUM(D17:D20)</f>
        <v>0</v>
      </c>
      <c r="E21" s="1766">
        <f>SUM(E17:E20)</f>
        <v>0</v>
      </c>
      <c r="F21" s="1766">
        <f>SUM(F17:F20)</f>
        <v>0</v>
      </c>
      <c r="G21" s="547"/>
    </row>
    <row r="22" spans="1:11" ht="15.75" customHeight="1" thickTop="1" x14ac:dyDescent="0.2">
      <c r="A22" s="2206" t="s">
        <v>1174</v>
      </c>
      <c r="B22" s="2207"/>
      <c r="C22" s="2201"/>
      <c r="D22" s="2202"/>
      <c r="E22" s="2202"/>
      <c r="F22" s="2203"/>
    </row>
    <row r="23" spans="1:11" ht="13.5" thickBot="1" x14ac:dyDescent="0.25">
      <c r="A23" s="2208" t="s">
        <v>654</v>
      </c>
      <c r="B23" s="2209"/>
      <c r="C23" s="575"/>
      <c r="D23" s="575"/>
      <c r="E23" s="575"/>
      <c r="F23" s="1766">
        <f>SUM(C23+D23)-E23</f>
        <v>0</v>
      </c>
      <c r="G23" s="547"/>
    </row>
    <row r="24" spans="1:11" ht="15.75" customHeight="1" thickTop="1" x14ac:dyDescent="0.2">
      <c r="A24" s="2206" t="s">
        <v>1175</v>
      </c>
      <c r="B24" s="2207"/>
      <c r="C24" s="2201"/>
      <c r="D24" s="2202"/>
      <c r="E24" s="2202"/>
      <c r="F24" s="2203"/>
    </row>
    <row r="25" spans="1:11" ht="13.5" thickBot="1" x14ac:dyDescent="0.25">
      <c r="A25" s="2208" t="s">
        <v>655</v>
      </c>
      <c r="B25" s="2209"/>
      <c r="C25" s="575"/>
      <c r="D25" s="575"/>
      <c r="E25" s="575"/>
      <c r="F25" s="1766">
        <f>SUM(C25+D25)-E25</f>
        <v>0</v>
      </c>
      <c r="G25" s="547"/>
    </row>
    <row r="26" spans="1:11" ht="15.75" customHeight="1" thickTop="1" x14ac:dyDescent="0.2">
      <c r="A26" s="2212" t="s">
        <v>678</v>
      </c>
      <c r="B26" s="2207"/>
      <c r="C26" s="717"/>
      <c r="D26" s="717"/>
      <c r="E26" s="717"/>
      <c r="F26" s="718"/>
    </row>
    <row r="27" spans="1:11" ht="13.5" thickBot="1" x14ac:dyDescent="0.25">
      <c r="A27" s="2204" t="s">
        <v>1130</v>
      </c>
      <c r="B27" s="2205"/>
      <c r="C27" s="578"/>
      <c r="D27" s="578"/>
      <c r="E27" s="578"/>
      <c r="F27" s="1766">
        <f>SUM(C27+D27)-E27</f>
        <v>0</v>
      </c>
      <c r="G27" s="547"/>
    </row>
    <row r="28" spans="1:11" ht="7.5" customHeight="1" thickTop="1" x14ac:dyDescent="0.2">
      <c r="A28" s="585"/>
    </row>
    <row r="29" spans="1:11" ht="23.25" customHeight="1" x14ac:dyDescent="0.2">
      <c r="A29" s="2210" t="s">
        <v>603</v>
      </c>
      <c r="B29" s="2211"/>
      <c r="C29" s="719"/>
      <c r="D29" s="719"/>
      <c r="E29" s="719"/>
      <c r="F29" s="719"/>
      <c r="G29" s="719"/>
      <c r="H29" s="719"/>
      <c r="I29" s="719"/>
      <c r="J29" s="719"/>
    </row>
    <row r="30" spans="1:11" ht="33.75" x14ac:dyDescent="0.2">
      <c r="A30" s="1540" t="s">
        <v>1131</v>
      </c>
      <c r="B30" s="720" t="s">
        <v>1186</v>
      </c>
      <c r="C30" s="1899" t="s">
        <v>604</v>
      </c>
      <c r="D30" s="1899" t="s">
        <v>1772</v>
      </c>
      <c r="E30" s="1899" t="s">
        <v>2040</v>
      </c>
      <c r="F30" s="1899" t="s">
        <v>2041</v>
      </c>
      <c r="G30" s="1899" t="s">
        <v>2044</v>
      </c>
      <c r="H30" s="1899" t="s">
        <v>2042</v>
      </c>
      <c r="I30" s="1899" t="s">
        <v>2043</v>
      </c>
      <c r="J30" s="1900" t="s">
        <v>2</v>
      </c>
      <c r="K30" s="721"/>
    </row>
    <row r="31" spans="1:11" ht="12" customHeight="1" x14ac:dyDescent="0.2">
      <c r="A31" s="722"/>
      <c r="B31" s="723"/>
      <c r="C31" s="724"/>
      <c r="D31" s="725"/>
      <c r="E31" s="724"/>
      <c r="F31" s="724"/>
      <c r="G31" s="724"/>
      <c r="H31" s="724"/>
      <c r="I31" s="1767">
        <f>((E31+F31)-H31)+G31</f>
        <v>0</v>
      </c>
      <c r="J31" s="724"/>
      <c r="K31" s="726"/>
    </row>
    <row r="32" spans="1:11" ht="12" customHeight="1" x14ac:dyDescent="0.2">
      <c r="A32" s="722"/>
      <c r="B32" s="723"/>
      <c r="C32" s="724"/>
      <c r="D32" s="725"/>
      <c r="E32" s="724"/>
      <c r="F32" s="724"/>
      <c r="G32" s="724"/>
      <c r="H32" s="724"/>
      <c r="I32" s="1767">
        <f>((E32+F32)-H32)+G32</f>
        <v>0</v>
      </c>
      <c r="J32" s="724"/>
      <c r="K32" s="726"/>
    </row>
    <row r="33" spans="1:11" ht="12" customHeight="1" x14ac:dyDescent="0.2">
      <c r="A33" s="722"/>
      <c r="B33" s="723"/>
      <c r="C33" s="724"/>
      <c r="D33" s="725"/>
      <c r="E33" s="724"/>
      <c r="F33" s="724"/>
      <c r="G33" s="724"/>
      <c r="H33" s="724"/>
      <c r="I33" s="1767">
        <f t="shared" ref="I33:I48" si="1">((E33+F33)-H33)+G33</f>
        <v>0</v>
      </c>
      <c r="J33" s="724"/>
      <c r="K33" s="726"/>
    </row>
    <row r="34" spans="1:11" ht="12" customHeight="1" x14ac:dyDescent="0.2">
      <c r="A34" s="722"/>
      <c r="B34" s="723"/>
      <c r="C34" s="724"/>
      <c r="D34" s="725"/>
      <c r="E34" s="724"/>
      <c r="F34" s="724"/>
      <c r="G34" s="724"/>
      <c r="H34" s="724"/>
      <c r="I34" s="1767">
        <f t="shared" si="1"/>
        <v>0</v>
      </c>
      <c r="J34" s="724"/>
      <c r="K34" s="727"/>
    </row>
    <row r="35" spans="1:11" ht="12" customHeight="1" x14ac:dyDescent="0.2">
      <c r="A35" s="722"/>
      <c r="B35" s="723"/>
      <c r="C35" s="728"/>
      <c r="D35" s="725"/>
      <c r="E35" s="728"/>
      <c r="F35" s="728"/>
      <c r="G35" s="728"/>
      <c r="H35" s="728"/>
      <c r="I35" s="1767">
        <f t="shared" si="1"/>
        <v>0</v>
      </c>
      <c r="J35" s="728"/>
      <c r="K35" s="727"/>
    </row>
    <row r="36" spans="1:11" ht="12" customHeight="1" x14ac:dyDescent="0.2">
      <c r="A36" s="722"/>
      <c r="B36" s="723"/>
      <c r="C36" s="724"/>
      <c r="D36" s="725"/>
      <c r="E36" s="724"/>
      <c r="F36" s="724"/>
      <c r="G36" s="724"/>
      <c r="H36" s="724"/>
      <c r="I36" s="1767">
        <f t="shared" si="1"/>
        <v>0</v>
      </c>
      <c r="J36" s="724"/>
      <c r="K36" s="729"/>
    </row>
    <row r="37" spans="1:11" ht="12" customHeight="1" x14ac:dyDescent="0.2">
      <c r="A37" s="722"/>
      <c r="B37" s="723"/>
      <c r="C37" s="467"/>
      <c r="D37" s="730"/>
      <c r="E37" s="467"/>
      <c r="F37" s="467"/>
      <c r="G37" s="467"/>
      <c r="H37" s="467"/>
      <c r="I37" s="1767">
        <f t="shared" si="1"/>
        <v>0</v>
      </c>
      <c r="J37" s="467"/>
      <c r="K37" s="727"/>
    </row>
    <row r="38" spans="1:11" ht="12" customHeight="1" x14ac:dyDescent="0.2">
      <c r="A38" s="722"/>
      <c r="B38" s="723"/>
      <c r="C38" s="724"/>
      <c r="D38" s="731"/>
      <c r="E38" s="732"/>
      <c r="F38" s="732"/>
      <c r="G38" s="732"/>
      <c r="H38" s="732"/>
      <c r="I38" s="1767">
        <f t="shared" si="1"/>
        <v>0</v>
      </c>
      <c r="J38" s="733" t="s">
        <v>282</v>
      </c>
      <c r="K38" s="734"/>
    </row>
    <row r="39" spans="1:11" ht="12" customHeight="1" x14ac:dyDescent="0.2">
      <c r="A39" s="722"/>
      <c r="B39" s="723"/>
      <c r="C39" s="724"/>
      <c r="D39" s="731"/>
      <c r="E39" s="732"/>
      <c r="F39" s="732"/>
      <c r="G39" s="732"/>
      <c r="H39" s="732"/>
      <c r="I39" s="1767">
        <f t="shared" si="1"/>
        <v>0</v>
      </c>
      <c r="J39" s="733"/>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0</v>
      </c>
      <c r="D49" s="735"/>
      <c r="E49" s="1767">
        <f t="shared" ref="E49:J49" si="2">SUM(E31:E48)</f>
        <v>0</v>
      </c>
      <c r="F49" s="1767">
        <f t="shared" si="2"/>
        <v>0</v>
      </c>
      <c r="G49" s="1767">
        <f t="shared" si="2"/>
        <v>0</v>
      </c>
      <c r="H49" s="1767">
        <f t="shared" si="2"/>
        <v>0</v>
      </c>
      <c r="I49" s="1767">
        <f t="shared" si="2"/>
        <v>0</v>
      </c>
      <c r="J49" s="1767">
        <f t="shared" si="2"/>
        <v>0</v>
      </c>
      <c r="K49" s="727"/>
    </row>
    <row r="50" spans="1:11" ht="6" customHeight="1" x14ac:dyDescent="0.2">
      <c r="A50" s="736"/>
      <c r="B50" s="726"/>
      <c r="C50" s="726"/>
      <c r="D50" s="726"/>
      <c r="E50" s="726"/>
      <c r="F50" s="726"/>
      <c r="G50" s="726"/>
      <c r="H50" s="726"/>
      <c r="I50" s="726"/>
      <c r="J50" s="736"/>
    </row>
    <row r="51" spans="1:11" x14ac:dyDescent="0.2">
      <c r="A51" s="737" t="s">
        <v>1914</v>
      </c>
      <c r="B51" s="736"/>
      <c r="C51" s="727"/>
      <c r="D51" s="727"/>
      <c r="E51" s="727"/>
      <c r="F51" s="727"/>
      <c r="G51" s="727"/>
      <c r="H51" s="726"/>
      <c r="I51" s="726"/>
      <c r="J51" s="736"/>
    </row>
    <row r="52" spans="1:11" ht="11.25" customHeight="1" x14ac:dyDescent="0.2">
      <c r="A52" s="738" t="s">
        <v>968</v>
      </c>
      <c r="B52" s="2193" t="s">
        <v>605</v>
      </c>
      <c r="C52" s="2194"/>
      <c r="D52" s="2194"/>
      <c r="E52" s="739" t="s">
        <v>900</v>
      </c>
      <c r="F52" s="2195"/>
      <c r="G52" s="2196"/>
      <c r="H52" s="726"/>
      <c r="I52" s="726"/>
      <c r="J52" s="736"/>
    </row>
    <row r="53" spans="1:11" ht="11.25" customHeight="1" x14ac:dyDescent="0.2">
      <c r="A53" s="740" t="s">
        <v>969</v>
      </c>
      <c r="B53" s="741" t="s">
        <v>1008</v>
      </c>
      <c r="C53" s="736"/>
      <c r="D53" s="727"/>
      <c r="E53" s="739" t="s">
        <v>518</v>
      </c>
      <c r="F53" s="2197"/>
      <c r="G53" s="2198"/>
      <c r="H53" s="726"/>
      <c r="I53" s="726"/>
      <c r="J53" s="736"/>
    </row>
    <row r="54" spans="1:11" ht="11.25" customHeight="1" x14ac:dyDescent="0.2">
      <c r="A54" s="742" t="s">
        <v>970</v>
      </c>
      <c r="B54" s="737" t="s">
        <v>1009</v>
      </c>
      <c r="C54" s="736"/>
      <c r="D54" s="727"/>
      <c r="E54" s="739" t="s">
        <v>519</v>
      </c>
      <c r="F54" s="2197"/>
      <c r="G54" s="2198"/>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29" sqref="H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911</v>
      </c>
      <c r="B1" s="2223"/>
      <c r="C1" s="2223"/>
      <c r="D1" s="2223"/>
      <c r="E1" s="2223"/>
      <c r="F1" s="2223"/>
      <c r="G1" s="2224"/>
      <c r="H1" s="1541"/>
      <c r="I1" s="750"/>
      <c r="J1" s="433"/>
    </row>
    <row r="2" spans="1:11" ht="26.25" x14ac:dyDescent="0.2">
      <c r="A2" s="2241" t="s">
        <v>1776</v>
      </c>
      <c r="B2" s="2242"/>
      <c r="C2" s="2242"/>
      <c r="D2" s="2242"/>
      <c r="E2" s="2243"/>
      <c r="F2" s="751" t="s">
        <v>960</v>
      </c>
      <c r="G2" s="752" t="s">
        <v>1773</v>
      </c>
      <c r="H2" s="752" t="s">
        <v>430</v>
      </c>
      <c r="I2" s="752" t="s">
        <v>1220</v>
      </c>
      <c r="J2" s="752" t="s">
        <v>1919</v>
      </c>
      <c r="K2" s="752" t="s">
        <v>140</v>
      </c>
    </row>
    <row r="3" spans="1:11" x14ac:dyDescent="0.2">
      <c r="A3" s="2244" t="s">
        <v>1698</v>
      </c>
      <c r="B3" s="2245"/>
      <c r="C3" s="2245"/>
      <c r="D3" s="2245"/>
      <c r="E3" s="2246"/>
      <c r="F3" s="753"/>
      <c r="G3" s="754"/>
      <c r="H3" s="754"/>
      <c r="I3" s="754"/>
      <c r="J3" s="755"/>
      <c r="K3" s="755"/>
    </row>
    <row r="4" spans="1:11" x14ac:dyDescent="0.2">
      <c r="A4" s="2247" t="s">
        <v>387</v>
      </c>
      <c r="B4" s="2248"/>
      <c r="C4" s="2248"/>
      <c r="D4" s="2248"/>
      <c r="E4" s="2194"/>
      <c r="F4" s="756"/>
      <c r="G4" s="757"/>
      <c r="H4" s="758"/>
      <c r="I4" s="757"/>
      <c r="J4" s="759"/>
      <c r="K4" s="759"/>
    </row>
    <row r="5" spans="1:11" x14ac:dyDescent="0.2">
      <c r="A5" s="2225" t="s">
        <v>1129</v>
      </c>
      <c r="B5" s="2226"/>
      <c r="C5" s="2226"/>
      <c r="D5" s="2226"/>
      <c r="E5" s="2227"/>
      <c r="F5" s="760" t="s">
        <v>903</v>
      </c>
      <c r="G5" s="761"/>
      <c r="H5" s="754"/>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25" t="s">
        <v>1920</v>
      </c>
      <c r="B10" s="2226"/>
      <c r="C10" s="2226"/>
      <c r="D10" s="2226"/>
      <c r="E10" s="2228"/>
      <c r="F10" s="773" t="s">
        <v>917</v>
      </c>
      <c r="G10" s="772"/>
      <c r="H10" s="774"/>
      <c r="I10" s="754"/>
      <c r="J10" s="755"/>
      <c r="K10" s="755"/>
    </row>
    <row r="11" spans="1:11" x14ac:dyDescent="0.2">
      <c r="A11" s="2225" t="s">
        <v>162</v>
      </c>
      <c r="B11" s="2226"/>
      <c r="C11" s="2226"/>
      <c r="D11" s="2226"/>
      <c r="E11" s="2227"/>
      <c r="F11" s="760" t="s">
        <v>907</v>
      </c>
      <c r="G11" s="761"/>
      <c r="H11" s="754"/>
      <c r="I11" s="754"/>
      <c r="J11" s="755"/>
      <c r="K11" s="763"/>
    </row>
    <row r="12" spans="1:11" ht="13.5" thickBot="1" x14ac:dyDescent="0.25">
      <c r="A12" s="2252" t="s">
        <v>961</v>
      </c>
      <c r="B12" s="2253"/>
      <c r="C12" s="2253"/>
      <c r="D12" s="2253"/>
      <c r="E12" s="2254"/>
      <c r="F12" s="1768"/>
      <c r="G12" s="1769">
        <f>SUM(G5:G11)</f>
        <v>0</v>
      </c>
      <c r="H12" s="1769">
        <f>SUM(H5:H11)</f>
        <v>0</v>
      </c>
      <c r="I12" s="1769">
        <f>SUM(I5:I11)</f>
        <v>0</v>
      </c>
      <c r="J12" s="1769">
        <f>SUM(J5:J11)</f>
        <v>0</v>
      </c>
      <c r="K12" s="1769">
        <f>SUM(K5:K11)</f>
        <v>0</v>
      </c>
    </row>
    <row r="13" spans="1:11" ht="13.5" thickTop="1" x14ac:dyDescent="0.2">
      <c r="A13" s="2249" t="s">
        <v>388</v>
      </c>
      <c r="B13" s="2250"/>
      <c r="C13" s="2250"/>
      <c r="D13" s="2250"/>
      <c r="E13" s="2251"/>
      <c r="F13" s="775"/>
      <c r="G13" s="776"/>
      <c r="H13" s="777"/>
      <c r="I13" s="778"/>
      <c r="J13" s="778"/>
      <c r="K13" s="778"/>
    </row>
    <row r="14" spans="1:11" x14ac:dyDescent="0.2">
      <c r="A14" s="2232" t="s">
        <v>476</v>
      </c>
      <c r="B14" s="2232"/>
      <c r="C14" s="2232"/>
      <c r="D14" s="2232"/>
      <c r="E14" s="2233"/>
      <c r="F14" s="779" t="s">
        <v>909</v>
      </c>
      <c r="G14" s="772"/>
      <c r="H14" s="754"/>
      <c r="I14" s="761"/>
      <c r="J14" s="763"/>
      <c r="K14" s="755"/>
    </row>
    <row r="15" spans="1:11" x14ac:dyDescent="0.2">
      <c r="A15" s="2226" t="s">
        <v>4</v>
      </c>
      <c r="B15" s="2226"/>
      <c r="C15" s="2226"/>
      <c r="D15" s="2226"/>
      <c r="E15" s="2227"/>
      <c r="F15" s="779" t="s">
        <v>910</v>
      </c>
      <c r="G15" s="761"/>
      <c r="H15" s="754"/>
      <c r="I15" s="754"/>
      <c r="J15" s="755"/>
      <c r="K15" s="755"/>
    </row>
    <row r="16" spans="1:11" x14ac:dyDescent="0.2">
      <c r="A16" s="2226" t="s">
        <v>316</v>
      </c>
      <c r="B16" s="2226"/>
      <c r="C16" s="2226"/>
      <c r="D16" s="2226"/>
      <c r="E16" s="2227"/>
      <c r="F16" s="779" t="s">
        <v>980</v>
      </c>
      <c r="G16" s="762"/>
      <c r="H16" s="757"/>
      <c r="I16" s="757"/>
      <c r="J16" s="759"/>
      <c r="K16" s="759"/>
    </row>
    <row r="17" spans="1:11" x14ac:dyDescent="0.2">
      <c r="A17" s="2257" t="s">
        <v>992</v>
      </c>
      <c r="B17" s="2257"/>
      <c r="C17" s="2257"/>
      <c r="D17" s="2257"/>
      <c r="E17" s="2258"/>
      <c r="F17" s="780"/>
      <c r="G17" s="781"/>
      <c r="H17" s="782"/>
      <c r="I17" s="782"/>
      <c r="J17" s="783"/>
      <c r="K17" s="784"/>
    </row>
    <row r="18" spans="1:11" x14ac:dyDescent="0.2">
      <c r="A18" s="2236" t="s">
        <v>386</v>
      </c>
      <c r="B18" s="2237"/>
      <c r="C18" s="2237"/>
      <c r="D18" s="2237"/>
      <c r="E18" s="2238"/>
      <c r="F18" s="779" t="s">
        <v>989</v>
      </c>
      <c r="G18" s="772"/>
      <c r="H18" s="772"/>
      <c r="I18" s="772"/>
      <c r="J18" s="755"/>
      <c r="K18" s="785"/>
    </row>
    <row r="19" spans="1:11" ht="21.75" customHeight="1" x14ac:dyDescent="0.2">
      <c r="A19" s="2234" t="s">
        <v>1916</v>
      </c>
      <c r="B19" s="2234"/>
      <c r="C19" s="2234"/>
      <c r="D19" s="2234"/>
      <c r="E19" s="2235"/>
      <c r="F19" s="779" t="s">
        <v>990</v>
      </c>
      <c r="G19" s="772"/>
      <c r="H19" s="772"/>
      <c r="I19" s="772"/>
      <c r="J19" s="755"/>
      <c r="K19" s="785"/>
    </row>
    <row r="20" spans="1:11" x14ac:dyDescent="0.2">
      <c r="A20" s="2236" t="s">
        <v>1921</v>
      </c>
      <c r="B20" s="2237"/>
      <c r="C20" s="2237"/>
      <c r="D20" s="2237"/>
      <c r="E20" s="2238"/>
      <c r="F20" s="779" t="s">
        <v>991</v>
      </c>
      <c r="G20" s="772"/>
      <c r="H20" s="772"/>
      <c r="I20" s="772"/>
      <c r="J20" s="755"/>
      <c r="K20" s="785"/>
    </row>
    <row r="21" spans="1:11" ht="13.5" thickBot="1" x14ac:dyDescent="0.25">
      <c r="A21" s="2255" t="s">
        <v>659</v>
      </c>
      <c r="B21" s="2255"/>
      <c r="C21" s="2255"/>
      <c r="D21" s="2255"/>
      <c r="E21" s="2255"/>
      <c r="F21" s="1770"/>
      <c r="G21" s="782"/>
      <c r="H21" s="786"/>
      <c r="I21" s="786"/>
      <c r="J21" s="1771">
        <f>SUM(J18:J20)</f>
        <v>0</v>
      </c>
      <c r="K21" s="783"/>
    </row>
    <row r="22" spans="1:11" ht="13.5" thickTop="1" x14ac:dyDescent="0.2">
      <c r="A22" s="2226" t="s">
        <v>1922</v>
      </c>
      <c r="B22" s="2226"/>
      <c r="C22" s="2226"/>
      <c r="D22" s="2226"/>
      <c r="E22" s="2227"/>
      <c r="F22" s="779" t="s">
        <v>917</v>
      </c>
      <c r="G22" s="772"/>
      <c r="H22" s="754"/>
      <c r="I22" s="754"/>
      <c r="J22" s="787"/>
      <c r="K22" s="755"/>
    </row>
    <row r="23" spans="1:11" ht="13.5" thickBot="1" x14ac:dyDescent="0.25">
      <c r="A23" s="2256" t="s">
        <v>962</v>
      </c>
      <c r="B23" s="2255"/>
      <c r="C23" s="2255"/>
      <c r="D23" s="2255"/>
      <c r="E23" s="2255"/>
      <c r="F23" s="1772"/>
      <c r="G23" s="1769">
        <f>SUM(G14:G16,G21,G22)</f>
        <v>0</v>
      </c>
      <c r="H23" s="1769">
        <f>SUM(H14:H16,H21,H22)</f>
        <v>0</v>
      </c>
      <c r="I23" s="1769">
        <f>SUM(I14:I16,I21,I22)</f>
        <v>0</v>
      </c>
      <c r="J23" s="1769">
        <f>SUM(J14:J16,J21,J22)</f>
        <v>0</v>
      </c>
      <c r="K23" s="1769">
        <f>SUM(K14:K16,K21,K22)</f>
        <v>0</v>
      </c>
    </row>
    <row r="24" spans="1:11" ht="14.25" thickTop="1" thickBot="1" x14ac:dyDescent="0.25">
      <c r="A24" s="2256" t="s">
        <v>2026</v>
      </c>
      <c r="B24" s="2255"/>
      <c r="C24" s="2255"/>
      <c r="D24" s="2255"/>
      <c r="E24" s="2255"/>
      <c r="F24" s="1773"/>
      <c r="G24" s="1774">
        <f>SUM(G3,G12)-G23</f>
        <v>0</v>
      </c>
      <c r="H24" s="1774">
        <f>SUM(H3,H12)-H23</f>
        <v>0</v>
      </c>
      <c r="I24" s="1774">
        <f>SUM(I3,I12)-I23</f>
        <v>0</v>
      </c>
      <c r="J24" s="1774">
        <f>SUM(J3,J12)-J23</f>
        <v>0</v>
      </c>
      <c r="K24" s="1774">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4" t="s">
        <v>2036</v>
      </c>
      <c r="B28" s="1895"/>
      <c r="C28" s="1895"/>
      <c r="D28" s="1895"/>
      <c r="E28" s="1896"/>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229"/>
      <c r="I31" s="2230"/>
      <c r="J31" s="2230"/>
      <c r="K31" s="2230"/>
    </row>
    <row r="32" spans="1:11" x14ac:dyDescent="0.2">
      <c r="A32" s="799"/>
      <c r="B32" s="237"/>
      <c r="C32" s="237"/>
      <c r="D32" s="237"/>
      <c r="E32" s="795"/>
      <c r="F32" s="801" t="s">
        <v>561</v>
      </c>
      <c r="G32" s="754"/>
      <c r="H32" s="2231"/>
      <c r="I32" s="2230"/>
      <c r="J32" s="2230"/>
      <c r="K32" s="2230"/>
    </row>
    <row r="33" spans="1:11" ht="1.5" customHeight="1" x14ac:dyDescent="0.2">
      <c r="A33" s="802" t="s">
        <v>1231</v>
      </c>
      <c r="B33" s="364"/>
      <c r="C33" s="364"/>
      <c r="D33" s="364"/>
      <c r="E33" s="364"/>
      <c r="F33" s="364"/>
      <c r="G33" s="803"/>
      <c r="H33" s="2231"/>
      <c r="I33" s="2230"/>
      <c r="J33" s="2230"/>
      <c r="K33" s="2230"/>
    </row>
    <row r="34" spans="1:11" x14ac:dyDescent="0.2">
      <c r="A34" s="804" t="s">
        <v>1923</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26" t="s">
        <v>562</v>
      </c>
      <c r="B41" s="2239"/>
      <c r="C41" s="2239"/>
      <c r="D41" s="2239"/>
      <c r="E41" s="2239"/>
      <c r="F41" s="2240"/>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1917</v>
      </c>
      <c r="B46" s="408" t="s">
        <v>1774</v>
      </c>
    </row>
    <row r="47" spans="1:11" s="813" customFormat="1" ht="12.75" customHeight="1" x14ac:dyDescent="0.2">
      <c r="A47" s="811"/>
      <c r="B47" s="812" t="s">
        <v>1775</v>
      </c>
      <c r="E47" s="812"/>
      <c r="K47" s="814"/>
    </row>
    <row r="48" spans="1:11" ht="12.75" customHeight="1" x14ac:dyDescent="0.2">
      <c r="A48" s="154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12" sqref="H12"/>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2035</v>
      </c>
      <c r="B1" s="2262"/>
      <c r="C1" s="2263"/>
      <c r="D1" s="816"/>
      <c r="E1" s="817"/>
      <c r="F1" s="817"/>
      <c r="G1" s="818"/>
      <c r="H1" s="819"/>
      <c r="I1" s="820"/>
      <c r="J1" s="2259"/>
      <c r="K1" s="2260"/>
      <c r="L1" s="2260"/>
    </row>
    <row r="2" spans="1:14" ht="69.75" customHeight="1" x14ac:dyDescent="0.2">
      <c r="A2" s="821" t="s">
        <v>1777</v>
      </c>
      <c r="B2" s="822" t="s">
        <v>396</v>
      </c>
      <c r="C2" s="823" t="s">
        <v>2030</v>
      </c>
      <c r="D2" s="823" t="s">
        <v>2027</v>
      </c>
      <c r="E2" s="823" t="s">
        <v>2028</v>
      </c>
      <c r="F2" s="823" t="s">
        <v>2029</v>
      </c>
      <c r="G2" s="823" t="s">
        <v>626</v>
      </c>
      <c r="H2" s="823" t="s">
        <v>2031</v>
      </c>
      <c r="I2" s="823" t="s">
        <v>2032</v>
      </c>
      <c r="J2" s="823" t="s">
        <v>2047</v>
      </c>
      <c r="K2" s="823" t="s">
        <v>2033</v>
      </c>
      <c r="L2" s="823" t="s">
        <v>2034</v>
      </c>
      <c r="M2" s="824"/>
      <c r="N2" s="824"/>
    </row>
    <row r="3" spans="1:14" ht="13.5" thickBot="1" x14ac:dyDescent="0.25">
      <c r="A3" s="1640" t="s">
        <v>948</v>
      </c>
      <c r="B3" s="1641">
        <v>210</v>
      </c>
      <c r="C3" s="825"/>
      <c r="D3" s="825"/>
      <c r="E3" s="825"/>
      <c r="F3" s="1771">
        <f>(C3+D3)-E3</f>
        <v>0</v>
      </c>
      <c r="G3" s="826"/>
      <c r="H3" s="825"/>
      <c r="I3" s="825"/>
      <c r="J3" s="825"/>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c r="D5" s="831"/>
      <c r="E5" s="831"/>
      <c r="F5" s="1771">
        <f>(C5+D5)-E5</f>
        <v>0</v>
      </c>
      <c r="G5" s="827"/>
      <c r="H5" s="832"/>
      <c r="I5" s="832"/>
      <c r="J5" s="832"/>
      <c r="K5" s="783"/>
      <c r="L5" s="1780">
        <f>F5-K5</f>
        <v>0</v>
      </c>
    </row>
    <row r="6" spans="1:14" ht="14.25" thickTop="1" thickBot="1" x14ac:dyDescent="0.25">
      <c r="A6" s="768" t="s">
        <v>1179</v>
      </c>
      <c r="B6" s="830">
        <v>222</v>
      </c>
      <c r="C6" s="755"/>
      <c r="D6" s="755"/>
      <c r="E6" s="755"/>
      <c r="F6" s="1771">
        <f>(C6+D6)-E6</f>
        <v>0</v>
      </c>
      <c r="G6" s="827">
        <v>50</v>
      </c>
      <c r="H6" s="755"/>
      <c r="I6" s="755"/>
      <c r="J6" s="755"/>
      <c r="K6" s="1780">
        <f>(H6+I6)-J6</f>
        <v>0</v>
      </c>
      <c r="L6" s="1780">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c r="D8" s="834"/>
      <c r="E8" s="834"/>
      <c r="F8" s="1771">
        <f>(C8+D8)-E8</f>
        <v>0</v>
      </c>
      <c r="G8" s="833">
        <v>50</v>
      </c>
      <c r="H8" s="755"/>
      <c r="I8" s="755"/>
      <c r="J8" s="755"/>
      <c r="K8" s="1780">
        <f>(H8+I8)-J8</f>
        <v>0</v>
      </c>
      <c r="L8" s="1780">
        <f>F8-K8</f>
        <v>0</v>
      </c>
    </row>
    <row r="9" spans="1:14" ht="14.25" thickTop="1" thickBot="1" x14ac:dyDescent="0.25">
      <c r="A9" s="768" t="s">
        <v>1181</v>
      </c>
      <c r="B9" s="830">
        <v>232</v>
      </c>
      <c r="C9" s="755"/>
      <c r="D9" s="755"/>
      <c r="E9" s="755"/>
      <c r="F9" s="1771">
        <f>(C9+D9)-E9</f>
        <v>0</v>
      </c>
      <c r="G9" s="833">
        <v>20</v>
      </c>
      <c r="H9" s="755"/>
      <c r="I9" s="755"/>
      <c r="J9" s="755"/>
      <c r="K9" s="1780">
        <f>(H9+I9)-J9</f>
        <v>0</v>
      </c>
      <c r="L9" s="1780">
        <f>F9-K9</f>
        <v>0</v>
      </c>
    </row>
    <row r="10" spans="1:14" ht="24" thickTop="1" thickBot="1" x14ac:dyDescent="0.25">
      <c r="A10" s="835" t="s">
        <v>1182</v>
      </c>
      <c r="B10" s="830">
        <v>240</v>
      </c>
      <c r="C10" s="836"/>
      <c r="D10" s="836"/>
      <c r="E10" s="836"/>
      <c r="F10" s="1775">
        <f>(C10+D10)-E10</f>
        <v>0</v>
      </c>
      <c r="G10" s="833">
        <v>20</v>
      </c>
      <c r="H10" s="837"/>
      <c r="I10" s="837"/>
      <c r="J10" s="837"/>
      <c r="K10" s="1780">
        <f>(H10+I10)-J10</f>
        <v>0</v>
      </c>
      <c r="L10" s="1780">
        <f>F10-K10</f>
        <v>0</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c r="D12" s="834"/>
      <c r="E12" s="834"/>
      <c r="F12" s="1771">
        <f>(C12+D12)-E12</f>
        <v>0</v>
      </c>
      <c r="G12" s="833">
        <v>10</v>
      </c>
      <c r="H12" s="755"/>
      <c r="I12" s="755"/>
      <c r="J12" s="755"/>
      <c r="K12" s="1780">
        <f>(H12+I12)-J12</f>
        <v>0</v>
      </c>
      <c r="L12" s="1780">
        <f>F12-K12</f>
        <v>0</v>
      </c>
    </row>
    <row r="13" spans="1:14" ht="14.25" thickTop="1" thickBot="1" x14ac:dyDescent="0.25">
      <c r="A13" s="838" t="s">
        <v>1184</v>
      </c>
      <c r="B13" s="830">
        <v>252</v>
      </c>
      <c r="C13" s="834"/>
      <c r="D13" s="834"/>
      <c r="E13" s="834"/>
      <c r="F13" s="1771">
        <f>(C13+D13)-E13</f>
        <v>0</v>
      </c>
      <c r="G13" s="833">
        <v>5</v>
      </c>
      <c r="H13" s="755"/>
      <c r="I13" s="755"/>
      <c r="J13" s="755"/>
      <c r="K13" s="1780">
        <f>(H13+I13)-J13</f>
        <v>0</v>
      </c>
      <c r="L13" s="1780">
        <f>F13-K13</f>
        <v>0</v>
      </c>
    </row>
    <row r="14" spans="1:14" ht="14.25" thickTop="1" thickBot="1" x14ac:dyDescent="0.25">
      <c r="A14" s="838" t="s">
        <v>1185</v>
      </c>
      <c r="B14" s="830">
        <v>253</v>
      </c>
      <c r="C14" s="755"/>
      <c r="D14" s="755"/>
      <c r="E14" s="755"/>
      <c r="F14" s="1771">
        <f>(C14+D14)-E14</f>
        <v>0</v>
      </c>
      <c r="G14" s="833">
        <v>3</v>
      </c>
      <c r="H14" s="755"/>
      <c r="I14" s="755"/>
      <c r="J14" s="755"/>
      <c r="K14" s="1780">
        <f>(H14+I14)-J14</f>
        <v>0</v>
      </c>
      <c r="L14" s="1780">
        <f>F14-K14</f>
        <v>0</v>
      </c>
    </row>
    <row r="15" spans="1:14" ht="15" customHeight="1" thickTop="1" thickBot="1" x14ac:dyDescent="0.25">
      <c r="A15" s="1642" t="s">
        <v>549</v>
      </c>
      <c r="B15" s="1641">
        <v>260</v>
      </c>
      <c r="C15" s="834"/>
      <c r="D15" s="834"/>
      <c r="E15" s="834"/>
      <c r="F15" s="1771">
        <f>(C15+D15)-E15</f>
        <v>0</v>
      </c>
      <c r="G15" s="839" t="s">
        <v>917</v>
      </c>
      <c r="H15" s="771"/>
      <c r="I15" s="771"/>
      <c r="J15" s="771"/>
      <c r="K15" s="771"/>
      <c r="L15" s="1780">
        <f>F15-K15</f>
        <v>0</v>
      </c>
    </row>
    <row r="16" spans="1:14" ht="15" customHeight="1" thickTop="1" thickBot="1" x14ac:dyDescent="0.25">
      <c r="A16" s="1776" t="s">
        <v>664</v>
      </c>
      <c r="B16" s="1777">
        <v>200</v>
      </c>
      <c r="C16" s="1771">
        <f>SUM(C3,C5:C6,C8:C10,C12:C15)</f>
        <v>0</v>
      </c>
      <c r="D16" s="1771">
        <f>SUM(D3,D5:D6,D8:D10,D12:D15)</f>
        <v>0</v>
      </c>
      <c r="E16" s="1771">
        <f>SUM(E3,E5:E6,E8:E10,E12:E15)</f>
        <v>0</v>
      </c>
      <c r="F16" s="1771">
        <f>SUM(F3,F5:F6,F8:F10,F12:F15)</f>
        <v>0</v>
      </c>
      <c r="G16" s="833"/>
      <c r="H16" s="1771">
        <f>SUM(H3,H6,H8:H10,H12:H14,)</f>
        <v>0</v>
      </c>
      <c r="I16" s="1771">
        <f>SUM(I3,I6,I8:I10,I12:I14,)</f>
        <v>0</v>
      </c>
      <c r="J16" s="1771">
        <f>SUM(J3,J6,J8:J10,J12:J14,)</f>
        <v>0</v>
      </c>
      <c r="K16" s="1771">
        <f>(H16+I16)-J16</f>
        <v>0</v>
      </c>
      <c r="L16" s="1771">
        <f>F16-K16</f>
        <v>0</v>
      </c>
    </row>
    <row r="17" spans="1:12" ht="15" customHeight="1" thickTop="1" thickBot="1" x14ac:dyDescent="0.25">
      <c r="A17" s="1644" t="s">
        <v>309</v>
      </c>
      <c r="B17" s="1641">
        <v>700</v>
      </c>
      <c r="C17" s="759"/>
      <c r="D17" s="759"/>
      <c r="E17" s="759"/>
      <c r="F17" s="1771">
        <f>SUM('Expenditures 15-22'!I114,'Expenditures 15-22'!I151,'Expenditures 15-22'!I210,'Expenditures 15-22'!I312,'Expenditures 15-22'!I342,'Expenditures 15-22'!I367)</f>
        <v>0</v>
      </c>
      <c r="G17" s="827">
        <v>10</v>
      </c>
      <c r="H17" s="759"/>
      <c r="I17" s="1780">
        <f>F17/G17</f>
        <v>0</v>
      </c>
      <c r="J17" s="759"/>
      <c r="K17" s="785"/>
      <c r="L17" s="785"/>
    </row>
    <row r="18" spans="1:12" ht="14.25" thickTop="1" thickBot="1" x14ac:dyDescent="0.25">
      <c r="A18" s="1778" t="s">
        <v>706</v>
      </c>
      <c r="B18" s="1779"/>
      <c r="C18" s="761"/>
      <c r="D18" s="761"/>
      <c r="E18" s="761"/>
      <c r="F18" s="840"/>
      <c r="G18" s="841"/>
      <c r="H18" s="763"/>
      <c r="I18" s="1771">
        <f>SUM(I16,I17)</f>
        <v>0</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6" activePane="bottomLeft" state="frozen"/>
      <selection activeCell="H12" sqref="H12"/>
      <selection pane="bottomLeft" activeCell="H12" sqref="H12"/>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67" t="s">
        <v>1699</v>
      </c>
      <c r="B1" s="2268"/>
      <c r="C1" s="2268"/>
      <c r="D1" s="2268"/>
      <c r="E1" s="2268"/>
      <c r="F1" s="2269"/>
      <c r="G1" s="845"/>
    </row>
    <row r="2" spans="1:7" ht="15" customHeight="1" thickBot="1" x14ac:dyDescent="0.25">
      <c r="A2" s="2270" t="s">
        <v>498</v>
      </c>
      <c r="B2" s="2271"/>
      <c r="C2" s="2271"/>
      <c r="D2" s="2271"/>
      <c r="E2" s="2271"/>
      <c r="F2" s="2272"/>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73"/>
      <c r="B5" s="2274"/>
      <c r="C5" s="2274"/>
      <c r="D5" s="2274"/>
      <c r="E5" s="2274"/>
      <c r="F5" s="2274"/>
    </row>
    <row r="6" spans="1:7" ht="13.5" customHeight="1" thickBot="1" x14ac:dyDescent="0.25">
      <c r="A6" s="2264" t="s">
        <v>1166</v>
      </c>
      <c r="B6" s="2265"/>
      <c r="C6" s="2265"/>
      <c r="D6" s="2265"/>
      <c r="E6" s="2265"/>
      <c r="F6" s="2266"/>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23">
        <f>'Expenditures 15-22'!K114</f>
        <v>2569469</v>
      </c>
      <c r="G8" s="855"/>
    </row>
    <row r="9" spans="1:7" x14ac:dyDescent="0.2">
      <c r="A9" s="859" t="s">
        <v>480</v>
      </c>
      <c r="B9" s="860" t="s">
        <v>1989</v>
      </c>
      <c r="C9" s="861"/>
      <c r="D9" s="859" t="s">
        <v>522</v>
      </c>
      <c r="E9" s="858"/>
      <c r="F9" s="1924">
        <f>'Expenditures 15-22'!K151</f>
        <v>0</v>
      </c>
      <c r="G9" s="862"/>
    </row>
    <row r="10" spans="1:7" x14ac:dyDescent="0.2">
      <c r="A10" s="859" t="s">
        <v>520</v>
      </c>
      <c r="B10" s="860" t="s">
        <v>1990</v>
      </c>
      <c r="C10" s="861"/>
      <c r="D10" s="859" t="s">
        <v>522</v>
      </c>
      <c r="E10" s="858"/>
      <c r="F10" s="1924">
        <f>'Expenditures 15-22'!K174</f>
        <v>0</v>
      </c>
      <c r="G10" s="862"/>
    </row>
    <row r="11" spans="1:7" x14ac:dyDescent="0.2">
      <c r="A11" s="859" t="s">
        <v>481</v>
      </c>
      <c r="B11" s="860" t="s">
        <v>1991</v>
      </c>
      <c r="C11" s="861"/>
      <c r="D11" s="859" t="s">
        <v>522</v>
      </c>
      <c r="E11" s="858"/>
      <c r="F11" s="1924">
        <f>'Expenditures 15-22'!K210</f>
        <v>0</v>
      </c>
      <c r="G11" s="862"/>
    </row>
    <row r="12" spans="1:7" x14ac:dyDescent="0.2">
      <c r="A12" s="859" t="s">
        <v>482</v>
      </c>
      <c r="B12" s="860" t="s">
        <v>1992</v>
      </c>
      <c r="C12" s="861"/>
      <c r="D12" s="859" t="s">
        <v>522</v>
      </c>
      <c r="E12" s="858"/>
      <c r="F12" s="1924">
        <f>'Expenditures 15-22'!K295</f>
        <v>0</v>
      </c>
      <c r="G12" s="862"/>
    </row>
    <row r="13" spans="1:7" x14ac:dyDescent="0.2">
      <c r="A13" s="859" t="s">
        <v>108</v>
      </c>
      <c r="B13" s="860" t="s">
        <v>1993</v>
      </c>
      <c r="C13" s="861"/>
      <c r="D13" s="859" t="s">
        <v>522</v>
      </c>
      <c r="E13" s="858"/>
      <c r="F13" s="1924">
        <f>'Expenditures 15-22'!K342</f>
        <v>0</v>
      </c>
      <c r="G13" s="863"/>
    </row>
    <row r="14" spans="1:7" ht="12" customHeight="1" thickBot="1" x14ac:dyDescent="0.25">
      <c r="A14" s="1781"/>
      <c r="B14" s="1782"/>
      <c r="C14" s="1783"/>
      <c r="D14" s="1784" t="s">
        <v>522</v>
      </c>
      <c r="E14" s="1785" t="s">
        <v>1015</v>
      </c>
      <c r="F14" s="1786">
        <f>SUM(F8:F13)</f>
        <v>2569469</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5">
        <f>'Revenues 9-14'!F43</f>
        <v>0</v>
      </c>
      <c r="G18" s="855"/>
    </row>
    <row r="19" spans="1:7" x14ac:dyDescent="0.2">
      <c r="A19" s="859" t="s">
        <v>481</v>
      </c>
      <c r="B19" s="860" t="s">
        <v>1069</v>
      </c>
      <c r="C19" s="867">
        <f>'Revenues 9-14'!B47</f>
        <v>1421</v>
      </c>
      <c r="D19" s="868" t="str">
        <f>'Revenues 9-14'!A47</f>
        <v>Summer Sch - Transp. Fees from Pupils or Parents (In State)</v>
      </c>
      <c r="E19" s="869"/>
      <c r="F19" s="1926">
        <f>'Revenues 9-14'!F47</f>
        <v>0</v>
      </c>
      <c r="G19" s="855"/>
    </row>
    <row r="20" spans="1:7" x14ac:dyDescent="0.2">
      <c r="A20" s="859" t="s">
        <v>481</v>
      </c>
      <c r="B20" s="860" t="s">
        <v>1070</v>
      </c>
      <c r="C20" s="865">
        <f>'Revenues 9-14'!B48</f>
        <v>1422</v>
      </c>
      <c r="D20" s="866" t="str">
        <f>'Revenues 9-14'!A48</f>
        <v>Summer Sch - Transp. Fees from Other Districts (In State)</v>
      </c>
      <c r="E20" s="858"/>
      <c r="F20" s="1927">
        <f>'Revenues 9-14'!F48</f>
        <v>0</v>
      </c>
      <c r="G20" s="855"/>
    </row>
    <row r="21" spans="1:7" x14ac:dyDescent="0.2">
      <c r="A21" s="859" t="s">
        <v>481</v>
      </c>
      <c r="B21" s="860" t="s">
        <v>1071</v>
      </c>
      <c r="C21" s="867">
        <f>'Revenues 9-14'!B49</f>
        <v>1423</v>
      </c>
      <c r="D21" s="866" t="str">
        <f>'Revenues 9-14'!A49</f>
        <v>Summer Sch - Transp. Fees from Other Sources (In State)</v>
      </c>
      <c r="E21" s="858"/>
      <c r="F21" s="1928">
        <f>'Revenues 9-14'!F49</f>
        <v>0</v>
      </c>
      <c r="G21" s="855"/>
    </row>
    <row r="22" spans="1:7" x14ac:dyDescent="0.2">
      <c r="A22" s="859" t="s">
        <v>481</v>
      </c>
      <c r="B22" s="860" t="s">
        <v>1072</v>
      </c>
      <c r="C22" s="867">
        <f>'Revenues 9-14'!B50</f>
        <v>1424</v>
      </c>
      <c r="D22" s="866" t="str">
        <f>'Revenues 9-14'!A50</f>
        <v>Summer Sch - Transp. Fees from Other Sources (Out of State)</v>
      </c>
      <c r="E22" s="858"/>
      <c r="F22" s="1928">
        <f>'Revenues 9-14'!F50</f>
        <v>0</v>
      </c>
      <c r="G22" s="855"/>
    </row>
    <row r="23" spans="1:7" x14ac:dyDescent="0.2">
      <c r="A23" s="859" t="s">
        <v>481</v>
      </c>
      <c r="B23" s="860" t="s">
        <v>1073</v>
      </c>
      <c r="C23" s="865">
        <f>'Revenues 9-14'!B52</f>
        <v>1432</v>
      </c>
      <c r="D23" s="866" t="str">
        <f>'Revenues 9-14'!A52</f>
        <v>CTE - Transp Fees from Other Districts (In State)</v>
      </c>
      <c r="E23" s="858"/>
      <c r="F23" s="1928">
        <f>'Revenues 9-14'!F52</f>
        <v>0</v>
      </c>
      <c r="G23" s="855"/>
    </row>
    <row r="24" spans="1:7" x14ac:dyDescent="0.2">
      <c r="A24" s="859" t="s">
        <v>481</v>
      </c>
      <c r="B24" s="860" t="s">
        <v>1074</v>
      </c>
      <c r="C24" s="865">
        <f>'Revenues 9-14'!B56</f>
        <v>1442</v>
      </c>
      <c r="D24" s="866" t="str">
        <f>'Revenues 9-14'!A56</f>
        <v>Special Ed - Transp Fees from Other Districts (In State)</v>
      </c>
      <c r="E24" s="858"/>
      <c r="F24" s="1928">
        <f>'Revenues 9-14'!F56</f>
        <v>0</v>
      </c>
      <c r="G24" s="855"/>
    </row>
    <row r="25" spans="1:7" x14ac:dyDescent="0.2">
      <c r="A25" s="859" t="s">
        <v>481</v>
      </c>
      <c r="B25" s="860" t="s">
        <v>1075</v>
      </c>
      <c r="C25" s="865">
        <f>'Revenues 9-14'!B59</f>
        <v>1451</v>
      </c>
      <c r="D25" s="866" t="str">
        <f>'Revenues 9-14'!A59</f>
        <v>Adult - Transp Fees from Pupils or Parents (In State)</v>
      </c>
      <c r="E25" s="858"/>
      <c r="F25" s="1928">
        <f>'Revenues 9-14'!F59</f>
        <v>0</v>
      </c>
      <c r="G25" s="855"/>
    </row>
    <row r="26" spans="1:7" x14ac:dyDescent="0.2">
      <c r="A26" s="859" t="s">
        <v>481</v>
      </c>
      <c r="B26" s="860" t="s">
        <v>1076</v>
      </c>
      <c r="C26" s="865">
        <f>'Revenues 9-14'!B60</f>
        <v>1452</v>
      </c>
      <c r="D26" s="866" t="str">
        <f>'Revenues 9-14'!A60</f>
        <v>Adult - Transp Fees from Other Districts (In State)</v>
      </c>
      <c r="E26" s="858"/>
      <c r="F26" s="1928">
        <f>'Revenues 9-14'!F60</f>
        <v>0</v>
      </c>
      <c r="G26" s="855"/>
    </row>
    <row r="27" spans="1:7" x14ac:dyDescent="0.2">
      <c r="A27" s="859" t="s">
        <v>481</v>
      </c>
      <c r="B27" s="860" t="s">
        <v>1077</v>
      </c>
      <c r="C27" s="865">
        <f>'Revenues 9-14'!B61</f>
        <v>1453</v>
      </c>
      <c r="D27" s="866" t="str">
        <f>'Revenues 9-14'!A61</f>
        <v>Adult - Transp Fees from Other Sources (In State)</v>
      </c>
      <c r="E27" s="858"/>
      <c r="F27" s="1928">
        <f>'Revenues 9-14'!F61</f>
        <v>0</v>
      </c>
      <c r="G27" s="855"/>
    </row>
    <row r="28" spans="1:7" x14ac:dyDescent="0.2">
      <c r="A28" s="859" t="s">
        <v>481</v>
      </c>
      <c r="B28" s="860" t="s">
        <v>1078</v>
      </c>
      <c r="C28" s="865">
        <f>'Revenues 9-14'!B62</f>
        <v>1454</v>
      </c>
      <c r="D28" s="866" t="str">
        <f>'Revenues 9-14'!A62</f>
        <v>Adult - Transp Fees from Other Sources (Out of State)</v>
      </c>
      <c r="E28" s="858"/>
      <c r="F28" s="1928">
        <f>'Revenues 9-14'!F62</f>
        <v>0</v>
      </c>
      <c r="G28" s="855"/>
    </row>
    <row r="29" spans="1:7" x14ac:dyDescent="0.2">
      <c r="A29" s="859" t="s">
        <v>1159</v>
      </c>
      <c r="B29" s="860" t="s">
        <v>1683</v>
      </c>
      <c r="C29" s="870">
        <f>'Revenues 9-14'!B148</f>
        <v>3410</v>
      </c>
      <c r="D29" s="871" t="str">
        <f>'Revenues 9-14'!A148</f>
        <v>Adult Ed (from ICCB)</v>
      </c>
      <c r="E29" s="858"/>
      <c r="F29" s="1928">
        <f>SUM('Revenues 9-14'!D148,F149)</f>
        <v>0</v>
      </c>
      <c r="G29" s="855"/>
    </row>
    <row r="30" spans="1:7" x14ac:dyDescent="0.2">
      <c r="A30" s="859" t="s">
        <v>1159</v>
      </c>
      <c r="B30" s="860" t="s">
        <v>861</v>
      </c>
      <c r="C30" s="870">
        <f>'Revenues 9-14'!B149</f>
        <v>3499</v>
      </c>
      <c r="D30" s="871" t="str">
        <f>'Revenues 9-14'!A149</f>
        <v>Adult Ed - Other (Describe &amp; Itemize)</v>
      </c>
      <c r="E30" s="858"/>
      <c r="F30" s="1929">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8">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8">
        <f>SUM('Revenues 9-14'!D219,'Revenues 9-14'!F219)</f>
        <v>0</v>
      </c>
      <c r="G32" s="855"/>
    </row>
    <row r="33" spans="1:7" x14ac:dyDescent="0.2">
      <c r="A33" s="859" t="s">
        <v>480</v>
      </c>
      <c r="B33" s="860" t="s">
        <v>801</v>
      </c>
      <c r="C33" s="865">
        <f>'Revenues 9-14'!B229</f>
        <v>4810</v>
      </c>
      <c r="D33" s="873" t="str">
        <f>'Revenues 9-14'!A229</f>
        <v>Federal - Adult Education</v>
      </c>
      <c r="E33" s="858"/>
      <c r="F33" s="1928">
        <f>'Revenues 9-14'!D229</f>
        <v>0</v>
      </c>
      <c r="G33" s="855"/>
    </row>
    <row r="34" spans="1:7" x14ac:dyDescent="0.2">
      <c r="A34" s="859" t="s">
        <v>479</v>
      </c>
      <c r="B34" s="859" t="s">
        <v>1545</v>
      </c>
      <c r="C34" s="876" t="str">
        <f>'Expenditures 15-22'!B7</f>
        <v>1125</v>
      </c>
      <c r="D34" s="877" t="str">
        <f>'Expenditures 15-22'!A7</f>
        <v>Pre-K Programs</v>
      </c>
      <c r="E34" s="858"/>
      <c r="F34" s="1928">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28">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28">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8">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8">
        <f>'Expenditures 15-22'!K15-SUM('Expenditures 15-22'!G15,'Expenditures 15-22'!I15)</f>
        <v>0</v>
      </c>
      <c r="G38" s="855"/>
    </row>
    <row r="39" spans="1:7" x14ac:dyDescent="0.2">
      <c r="A39" s="859" t="s">
        <v>479</v>
      </c>
      <c r="B39" s="859" t="s">
        <v>119</v>
      </c>
      <c r="C39" s="876" t="str">
        <f>'Expenditures 15-22'!B20</f>
        <v>1910</v>
      </c>
      <c r="D39" s="878" t="str">
        <f>'Expenditures 15-22'!A20</f>
        <v>Pre-K Programs - Private Tuition</v>
      </c>
      <c r="E39" s="858"/>
      <c r="F39" s="1928">
        <f>'Expenditures 15-22'!K20</f>
        <v>0</v>
      </c>
      <c r="G39" s="855"/>
    </row>
    <row r="40" spans="1:7" x14ac:dyDescent="0.2">
      <c r="A40" s="859" t="s">
        <v>479</v>
      </c>
      <c r="B40" s="859" t="s">
        <v>120</v>
      </c>
      <c r="C40" s="876" t="str">
        <f>'Expenditures 15-22'!B21</f>
        <v>1911</v>
      </c>
      <c r="D40" s="878" t="str">
        <f>'Expenditures 15-22'!A21</f>
        <v>Regular K-12 Programs - Private Tuition</v>
      </c>
      <c r="E40" s="858"/>
      <c r="F40" s="1928">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8">
        <f>'Expenditures 15-22'!K22</f>
        <v>0</v>
      </c>
      <c r="G41" s="855"/>
    </row>
    <row r="42" spans="1:7" x14ac:dyDescent="0.2">
      <c r="A42" s="859" t="s">
        <v>479</v>
      </c>
      <c r="B42" s="859" t="s">
        <v>122</v>
      </c>
      <c r="C42" s="879" t="str">
        <f>'Expenditures 15-22'!B23</f>
        <v>1913</v>
      </c>
      <c r="D42" s="878" t="str">
        <f>'Expenditures 15-22'!A23</f>
        <v>Special Education Programs Pre-K - Tuition</v>
      </c>
      <c r="E42" s="858"/>
      <c r="F42" s="1928">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8">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8">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8">
        <f>'Expenditures 15-22'!K26</f>
        <v>0</v>
      </c>
      <c r="G45" s="855"/>
    </row>
    <row r="46" spans="1:7" x14ac:dyDescent="0.2">
      <c r="A46" s="859" t="s">
        <v>479</v>
      </c>
      <c r="B46" s="859" t="s">
        <v>126</v>
      </c>
      <c r="C46" s="876" t="str">
        <f>'Expenditures 15-22'!B27</f>
        <v>1917</v>
      </c>
      <c r="D46" s="878" t="str">
        <f>'Expenditures 15-22'!A27</f>
        <v>CTE Programs - Private Tuition</v>
      </c>
      <c r="E46" s="858"/>
      <c r="F46" s="1928">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8">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8">
        <f>'Expenditures 15-22'!K29</f>
        <v>0</v>
      </c>
      <c r="G48" s="855"/>
    </row>
    <row r="49" spans="1:7" x14ac:dyDescent="0.2">
      <c r="A49" s="859" t="s">
        <v>479</v>
      </c>
      <c r="B49" s="859" t="s">
        <v>129</v>
      </c>
      <c r="C49" s="876" t="str">
        <f>'Expenditures 15-22'!B30</f>
        <v>1920</v>
      </c>
      <c r="D49" s="878" t="str">
        <f>'Expenditures 15-22'!A30</f>
        <v>Gifted Programs - Private Tuition</v>
      </c>
      <c r="E49" s="858"/>
      <c r="F49" s="1928">
        <f>'Expenditures 15-22'!K30</f>
        <v>0</v>
      </c>
      <c r="G49" s="855"/>
    </row>
    <row r="50" spans="1:7" x14ac:dyDescent="0.2">
      <c r="A50" s="859" t="s">
        <v>479</v>
      </c>
      <c r="B50" s="859" t="s">
        <v>130</v>
      </c>
      <c r="C50" s="876" t="str">
        <f>'Expenditures 15-22'!B31</f>
        <v>1921</v>
      </c>
      <c r="D50" s="878" t="str">
        <f>'Expenditures 15-22'!A31</f>
        <v>Bilingual Programs - Private Tuition</v>
      </c>
      <c r="E50" s="858"/>
      <c r="F50" s="1928">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8">
        <f>'Expenditures 15-22'!K32</f>
        <v>0</v>
      </c>
      <c r="G51" s="855"/>
    </row>
    <row r="52" spans="1:7" x14ac:dyDescent="0.2">
      <c r="A52" s="859" t="s">
        <v>479</v>
      </c>
      <c r="B52" s="859" t="s">
        <v>1550</v>
      </c>
      <c r="C52" s="879" t="str">
        <f>'Expenditures 15-22'!B75</f>
        <v>3000</v>
      </c>
      <c r="D52" s="878" t="s">
        <v>469</v>
      </c>
      <c r="E52" s="858"/>
      <c r="F52" s="1928">
        <f>'Expenditures 15-22'!K75-SUM('Expenditures 15-22'!G75,'Expenditures 15-22'!I75)</f>
        <v>0</v>
      </c>
      <c r="G52" s="855"/>
    </row>
    <row r="53" spans="1:7" x14ac:dyDescent="0.2">
      <c r="A53" s="859" t="s">
        <v>479</v>
      </c>
      <c r="B53" s="859" t="s">
        <v>1551</v>
      </c>
      <c r="C53" s="879">
        <f>'Expenditures 15-22'!B102</f>
        <v>4000</v>
      </c>
      <c r="D53" s="878" t="str">
        <f>'Expenditures 15-22'!A102</f>
        <v>Total Payments to Other Govt Units</v>
      </c>
      <c r="E53" s="858"/>
      <c r="F53" s="1928">
        <f>'Expenditures 15-22'!K102</f>
        <v>2210183</v>
      </c>
      <c r="G53" s="855"/>
    </row>
    <row r="54" spans="1:7" x14ac:dyDescent="0.2">
      <c r="A54" s="859" t="s">
        <v>479</v>
      </c>
      <c r="B54" s="859" t="s">
        <v>1552</v>
      </c>
      <c r="C54" s="879" t="s">
        <v>1039</v>
      </c>
      <c r="D54" s="875" t="s">
        <v>1157</v>
      </c>
      <c r="E54" s="858"/>
      <c r="F54" s="1928">
        <f>'Expenditures 15-22'!G114</f>
        <v>0</v>
      </c>
      <c r="G54" s="855"/>
    </row>
    <row r="55" spans="1:7" x14ac:dyDescent="0.2">
      <c r="A55" s="859" t="s">
        <v>479</v>
      </c>
      <c r="B55" s="859" t="s">
        <v>1553</v>
      </c>
      <c r="C55" s="879" t="s">
        <v>1039</v>
      </c>
      <c r="D55" s="875" t="s">
        <v>309</v>
      </c>
      <c r="E55" s="858"/>
      <c r="F55" s="1928">
        <f>'Expenditures 15-22'!I114</f>
        <v>0</v>
      </c>
      <c r="G55" s="855"/>
    </row>
    <row r="56" spans="1:7" x14ac:dyDescent="0.2">
      <c r="A56" s="859" t="s">
        <v>480</v>
      </c>
      <c r="B56" s="859" t="s">
        <v>1554</v>
      </c>
      <c r="C56" s="876" t="str">
        <f>'Expenditures 15-22'!B130</f>
        <v>3000</v>
      </c>
      <c r="D56" s="882" t="s">
        <v>469</v>
      </c>
      <c r="E56" s="858"/>
      <c r="F56" s="1928">
        <f>'Expenditures 15-22'!K130-SUM('Expenditures 15-22'!G130+'Expenditures 15-22'!I130)</f>
        <v>0</v>
      </c>
      <c r="G56" s="855"/>
    </row>
    <row r="57" spans="1:7" x14ac:dyDescent="0.2">
      <c r="A57" s="859" t="s">
        <v>480</v>
      </c>
      <c r="B57" s="859" t="s">
        <v>1994</v>
      </c>
      <c r="C57" s="879">
        <f>'Expenditures 15-22'!B139</f>
        <v>4000</v>
      </c>
      <c r="D57" s="877" t="str">
        <f>'Expenditures 15-22'!A139</f>
        <v>Total Payments to Other Govt Units</v>
      </c>
      <c r="E57" s="858"/>
      <c r="F57" s="1928">
        <f>'Expenditures 15-22'!K139</f>
        <v>0</v>
      </c>
      <c r="G57" s="855"/>
    </row>
    <row r="58" spans="1:7" x14ac:dyDescent="0.2">
      <c r="A58" s="859" t="s">
        <v>480</v>
      </c>
      <c r="B58" s="859" t="s">
        <v>1995</v>
      </c>
      <c r="C58" s="876" t="s">
        <v>1039</v>
      </c>
      <c r="D58" s="875" t="s">
        <v>1157</v>
      </c>
      <c r="E58" s="858"/>
      <c r="F58" s="1930">
        <f>'Expenditures 15-22'!G151</f>
        <v>0</v>
      </c>
      <c r="G58" s="855"/>
    </row>
    <row r="59" spans="1:7" x14ac:dyDescent="0.2">
      <c r="A59" s="883" t="s">
        <v>480</v>
      </c>
      <c r="B59" s="846" t="s">
        <v>1996</v>
      </c>
      <c r="C59" s="884" t="s">
        <v>1039</v>
      </c>
      <c r="D59" s="846" t="s">
        <v>309</v>
      </c>
      <c r="F59" s="1931">
        <f>'Expenditures 15-22'!I151</f>
        <v>0</v>
      </c>
      <c r="G59" s="855"/>
    </row>
    <row r="60" spans="1:7" x14ac:dyDescent="0.2">
      <c r="A60" s="883" t="s">
        <v>520</v>
      </c>
      <c r="B60" s="846" t="s">
        <v>1997</v>
      </c>
      <c r="C60" s="884">
        <v>4000</v>
      </c>
      <c r="D60" s="846" t="s">
        <v>330</v>
      </c>
      <c r="F60" s="1929">
        <f>'Expenditures 15-22'!K160</f>
        <v>0</v>
      </c>
      <c r="G60" s="855"/>
    </row>
    <row r="61" spans="1:7" x14ac:dyDescent="0.2">
      <c r="A61" s="885" t="s">
        <v>520</v>
      </c>
      <c r="B61" s="885" t="s">
        <v>1998</v>
      </c>
      <c r="C61" s="886" t="str">
        <f>'Expenditures 15-22'!B170</f>
        <v>5300</v>
      </c>
      <c r="D61" s="887" t="s">
        <v>329</v>
      </c>
      <c r="E61" s="869"/>
      <c r="F61" s="1928">
        <f>'Expenditures 15-22'!K170</f>
        <v>0</v>
      </c>
      <c r="G61" s="855"/>
    </row>
    <row r="62" spans="1:7" x14ac:dyDescent="0.2">
      <c r="A62" s="859" t="s">
        <v>481</v>
      </c>
      <c r="B62" s="859" t="s">
        <v>1999</v>
      </c>
      <c r="C62" s="876">
        <f>'Expenditures 15-22'!B185</f>
        <v>3000</v>
      </c>
      <c r="D62" s="866" t="s">
        <v>469</v>
      </c>
      <c r="E62" s="858"/>
      <c r="F62" s="1928">
        <f>'Expenditures 15-22'!K185-SUM('Expenditures 15-22'!G185,'Expenditures 15-22'!I185)</f>
        <v>0</v>
      </c>
      <c r="G62" s="855"/>
    </row>
    <row r="63" spans="1:7" x14ac:dyDescent="0.2">
      <c r="A63" s="859" t="s">
        <v>481</v>
      </c>
      <c r="B63" s="859" t="s">
        <v>2000</v>
      </c>
      <c r="C63" s="876" t="str">
        <f>'Expenditures 15-22'!B196</f>
        <v>4000</v>
      </c>
      <c r="D63" s="877" t="str">
        <f>'Expenditures 15-22'!A196</f>
        <v>Total Payments to Other Govt Units</v>
      </c>
      <c r="E63" s="858"/>
      <c r="F63" s="1928">
        <f>'Expenditures 15-22'!K196</f>
        <v>0</v>
      </c>
      <c r="G63" s="855"/>
    </row>
    <row r="64" spans="1:7" x14ac:dyDescent="0.2">
      <c r="A64" s="885" t="s">
        <v>481</v>
      </c>
      <c r="B64" s="885" t="s">
        <v>2001</v>
      </c>
      <c r="C64" s="886" t="str">
        <f>'Expenditures 15-22'!B206</f>
        <v>5300</v>
      </c>
      <c r="D64" s="882" t="s">
        <v>329</v>
      </c>
      <c r="E64" s="858"/>
      <c r="F64" s="1928">
        <f>'Expenditures 15-22'!K206</f>
        <v>0</v>
      </c>
      <c r="G64" s="855"/>
    </row>
    <row r="65" spans="1:8" x14ac:dyDescent="0.2">
      <c r="A65" s="859" t="s">
        <v>481</v>
      </c>
      <c r="B65" s="859" t="s">
        <v>2002</v>
      </c>
      <c r="C65" s="876" t="s">
        <v>1039</v>
      </c>
      <c r="D65" s="875" t="s">
        <v>1157</v>
      </c>
      <c r="E65" s="858"/>
      <c r="F65" s="1928">
        <f>'Expenditures 15-22'!G210</f>
        <v>0</v>
      </c>
      <c r="G65" s="855"/>
    </row>
    <row r="66" spans="1:8" x14ac:dyDescent="0.2">
      <c r="A66" s="859" t="s">
        <v>481</v>
      </c>
      <c r="B66" s="859" t="s">
        <v>2003</v>
      </c>
      <c r="C66" s="876" t="s">
        <v>1039</v>
      </c>
      <c r="D66" s="875" t="s">
        <v>309</v>
      </c>
      <c r="E66" s="858"/>
      <c r="F66" s="1928">
        <f>'Expenditures 15-22'!I210</f>
        <v>0</v>
      </c>
      <c r="G66" s="855"/>
    </row>
    <row r="67" spans="1:8" x14ac:dyDescent="0.2">
      <c r="A67" s="859" t="s">
        <v>482</v>
      </c>
      <c r="B67" s="859" t="s">
        <v>2004</v>
      </c>
      <c r="C67" s="876" t="str">
        <f>'Expenditures 15-22'!B216</f>
        <v>1125</v>
      </c>
      <c r="D67" s="882" t="str">
        <f>'Expenditures 15-22'!A216</f>
        <v>Pre-K Programs</v>
      </c>
      <c r="E67" s="858"/>
      <c r="F67" s="1928">
        <f>'Expenditures 15-22'!K216</f>
        <v>0</v>
      </c>
      <c r="G67" s="855"/>
    </row>
    <row r="68" spans="1:8" x14ac:dyDescent="0.2">
      <c r="A68" s="859" t="s">
        <v>482</v>
      </c>
      <c r="B68" s="859" t="s">
        <v>1555</v>
      </c>
      <c r="C68" s="876" t="str">
        <f>'Expenditures 15-22'!B218</f>
        <v>1225</v>
      </c>
      <c r="D68" s="882" t="str">
        <f>'Expenditures 15-22'!A218</f>
        <v>Special Education Programs - Pre-K</v>
      </c>
      <c r="E68" s="858"/>
      <c r="F68" s="1928">
        <f>'Expenditures 15-22'!K218</f>
        <v>0</v>
      </c>
      <c r="G68" s="855"/>
    </row>
    <row r="69" spans="1:8" x14ac:dyDescent="0.2">
      <c r="A69" s="859" t="s">
        <v>482</v>
      </c>
      <c r="B69" s="859" t="s">
        <v>2005</v>
      </c>
      <c r="C69" s="876" t="str">
        <f>'Expenditures 15-22'!B220</f>
        <v>1275</v>
      </c>
      <c r="D69" s="882" t="str">
        <f>'Expenditures 15-22'!A220</f>
        <v>Remedial and Supplemental Programs - Pre-K</v>
      </c>
      <c r="E69" s="858"/>
      <c r="F69" s="1928">
        <f>'Expenditures 15-22'!K220</f>
        <v>0</v>
      </c>
      <c r="G69" s="855"/>
    </row>
    <row r="70" spans="1:8" x14ac:dyDescent="0.2">
      <c r="A70" s="859" t="s">
        <v>482</v>
      </c>
      <c r="B70" s="859" t="s">
        <v>2006</v>
      </c>
      <c r="C70" s="876">
        <f>'Expenditures 15-22'!B221</f>
        <v>1300</v>
      </c>
      <c r="D70" s="877" t="str">
        <f>'Expenditures 15-22'!A221</f>
        <v>Adult/Continuing Education Programs</v>
      </c>
      <c r="E70" s="858"/>
      <c r="F70" s="1928">
        <f>'Expenditures 15-22'!K221</f>
        <v>0</v>
      </c>
      <c r="G70" s="855"/>
    </row>
    <row r="71" spans="1:8" x14ac:dyDescent="0.2">
      <c r="A71" s="859" t="s">
        <v>482</v>
      </c>
      <c r="B71" s="859" t="s">
        <v>2007</v>
      </c>
      <c r="C71" s="876">
        <f>'Expenditures 15-22'!B224</f>
        <v>1600</v>
      </c>
      <c r="D71" s="877" t="str">
        <f>'Expenditures 15-22'!A224</f>
        <v>Summer School Programs</v>
      </c>
      <c r="E71" s="858"/>
      <c r="F71" s="1928">
        <f>'Expenditures 15-22'!K224</f>
        <v>0</v>
      </c>
      <c r="G71" s="855"/>
    </row>
    <row r="72" spans="1:8" x14ac:dyDescent="0.2">
      <c r="A72" s="859" t="s">
        <v>482</v>
      </c>
      <c r="B72" s="859" t="s">
        <v>2008</v>
      </c>
      <c r="C72" s="876">
        <f>'Expenditures 15-22'!B280</f>
        <v>3000</v>
      </c>
      <c r="D72" s="866" t="s">
        <v>469</v>
      </c>
      <c r="E72" s="858"/>
      <c r="F72" s="1928">
        <f>'Expenditures 15-22'!K280</f>
        <v>0</v>
      </c>
      <c r="G72" s="855"/>
    </row>
    <row r="73" spans="1:8" x14ac:dyDescent="0.2">
      <c r="A73" s="859" t="s">
        <v>482</v>
      </c>
      <c r="B73" s="859" t="s">
        <v>2009</v>
      </c>
      <c r="C73" s="876" t="str">
        <f>'Expenditures 15-22'!B285</f>
        <v>4000</v>
      </c>
      <c r="D73" s="877" t="str">
        <f>'Expenditures 15-22'!A285</f>
        <v>Total Payments to Other Govt Units</v>
      </c>
      <c r="E73" s="858"/>
      <c r="F73" s="1928">
        <f>'Expenditures 15-22'!K285</f>
        <v>0</v>
      </c>
      <c r="G73" s="855"/>
    </row>
    <row r="74" spans="1:8" x14ac:dyDescent="0.2">
      <c r="A74" s="859" t="s">
        <v>456</v>
      </c>
      <c r="B74" s="859" t="s">
        <v>2010</v>
      </c>
      <c r="C74" s="876" t="s">
        <v>915</v>
      </c>
      <c r="D74" s="877" t="s">
        <v>1567</v>
      </c>
      <c r="E74" s="858"/>
      <c r="F74" s="1932">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2011</v>
      </c>
      <c r="E76" s="1785" t="s">
        <v>1015</v>
      </c>
      <c r="F76" s="1789">
        <f>SUM(F18:F74)</f>
        <v>2210183</v>
      </c>
      <c r="G76" s="855"/>
    </row>
    <row r="77" spans="1:8" s="883" customFormat="1" ht="12" customHeight="1" thickTop="1" thickBot="1" x14ac:dyDescent="0.25">
      <c r="A77" s="1790"/>
      <c r="B77" s="1787"/>
      <c r="C77" s="1783"/>
      <c r="D77" s="1788" t="s">
        <v>2012</v>
      </c>
      <c r="E77" s="1785"/>
      <c r="F77" s="1791">
        <f>(F14-F76)</f>
        <v>359286</v>
      </c>
      <c r="G77" s="859"/>
    </row>
    <row r="78" spans="1:8" s="883" customFormat="1" ht="12" customHeight="1" thickTop="1" x14ac:dyDescent="0.2">
      <c r="A78" s="1792"/>
      <c r="B78" s="1787"/>
      <c r="C78" s="1783"/>
      <c r="D78" s="1788" t="s">
        <v>2059</v>
      </c>
      <c r="E78" s="1785"/>
      <c r="F78" s="888">
        <v>0</v>
      </c>
      <c r="G78" s="889"/>
      <c r="H78" s="859"/>
    </row>
    <row r="79" spans="1:8" s="883" customFormat="1" ht="12" customHeight="1" thickBot="1" x14ac:dyDescent="0.25">
      <c r="A79" s="1793"/>
      <c r="B79" s="1787"/>
      <c r="C79" s="1783"/>
      <c r="D79" s="1788" t="s">
        <v>2013</v>
      </c>
      <c r="E79" s="1785" t="s">
        <v>1015</v>
      </c>
      <c r="F79" s="1794" t="str">
        <f>IF(F78&gt;0,F77/F78," Complete Line 78")</f>
        <v xml:space="preserve"> Complete Line 78</v>
      </c>
      <c r="G79" s="859"/>
    </row>
    <row r="80" spans="1:8" s="883" customFormat="1" ht="8.25" customHeight="1" thickTop="1" x14ac:dyDescent="0.2">
      <c r="A80" s="890"/>
      <c r="B80" s="859"/>
      <c r="C80" s="861"/>
      <c r="D80" s="891"/>
      <c r="E80" s="858"/>
      <c r="F80" s="892"/>
      <c r="G80" s="859"/>
    </row>
    <row r="81" spans="1:7" s="883" customFormat="1" ht="12" thickBot="1" x14ac:dyDescent="0.25">
      <c r="A81" s="2264" t="s">
        <v>1167</v>
      </c>
      <c r="B81" s="2265"/>
      <c r="C81" s="2265"/>
      <c r="D81" s="2265"/>
      <c r="E81" s="2265"/>
      <c r="F81" s="2266"/>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22">
        <f>'Revenues 9-14'!F42</f>
        <v>0</v>
      </c>
      <c r="G84" s="902"/>
    </row>
    <row r="85" spans="1:7" x14ac:dyDescent="0.2">
      <c r="A85" s="898" t="s">
        <v>481</v>
      </c>
      <c r="B85" s="898" t="s">
        <v>192</v>
      </c>
      <c r="C85" s="903">
        <f>'Revenues 9-14'!B44</f>
        <v>1413</v>
      </c>
      <c r="D85" s="901" t="str">
        <f>'Revenues 9-14'!A44</f>
        <v>Regular - Transp Fees from Other Sources (In State)</v>
      </c>
      <c r="E85" s="896"/>
      <c r="F85" s="1800">
        <f>'Revenues 9-14'!F44</f>
        <v>0</v>
      </c>
      <c r="G85" s="904"/>
    </row>
    <row r="86" spans="1:7" x14ac:dyDescent="0.2">
      <c r="A86" s="898" t="s">
        <v>481</v>
      </c>
      <c r="B86" s="898" t="s">
        <v>168</v>
      </c>
      <c r="C86" s="900">
        <f>'Revenues 9-14'!B45</f>
        <v>1415</v>
      </c>
      <c r="D86" s="901" t="str">
        <f>'Revenues 9-14'!A45</f>
        <v>Regular - Transp Fees from Co-curricular Activities (In State)</v>
      </c>
      <c r="E86" s="896"/>
      <c r="F86" s="1800">
        <f>'Revenues 9-14'!F45</f>
        <v>0</v>
      </c>
      <c r="G86" s="904"/>
    </row>
    <row r="87" spans="1:7" x14ac:dyDescent="0.2">
      <c r="A87" s="898" t="s">
        <v>481</v>
      </c>
      <c r="B87" s="898" t="s">
        <v>169</v>
      </c>
      <c r="C87" s="900">
        <v>1416</v>
      </c>
      <c r="D87" s="901" t="str">
        <f>'Revenues 9-14'!A46</f>
        <v>Regular Transp Fees from Other Sources (Out of State)</v>
      </c>
      <c r="E87" s="896"/>
      <c r="F87" s="1800">
        <f>'Revenues 9-14'!F46</f>
        <v>0</v>
      </c>
      <c r="G87" s="904"/>
    </row>
    <row r="88" spans="1:7" x14ac:dyDescent="0.2">
      <c r="A88" s="898" t="s">
        <v>481</v>
      </c>
      <c r="B88" s="898" t="s">
        <v>170</v>
      </c>
      <c r="C88" s="900">
        <f>'Revenues 9-14'!B51</f>
        <v>1431</v>
      </c>
      <c r="D88" s="901" t="str">
        <f>'Revenues 9-14'!A51</f>
        <v>CTE - Transp Fees from Pupils or Parents (In State)</v>
      </c>
      <c r="E88" s="896"/>
      <c r="F88" s="1800">
        <f>'Revenues 9-14'!F51</f>
        <v>0</v>
      </c>
      <c r="G88" s="904"/>
    </row>
    <row r="89" spans="1:7" x14ac:dyDescent="0.2">
      <c r="A89" s="898" t="s">
        <v>481</v>
      </c>
      <c r="B89" s="898" t="s">
        <v>171</v>
      </c>
      <c r="C89" s="900">
        <f>'Revenues 9-14'!B53</f>
        <v>1433</v>
      </c>
      <c r="D89" s="901" t="str">
        <f>'Revenues 9-14'!A53</f>
        <v>CTE - Transp Fees from Other Sources (In State)</v>
      </c>
      <c r="E89" s="896"/>
      <c r="F89" s="1800">
        <f>'Revenues 9-14'!F53</f>
        <v>0</v>
      </c>
      <c r="G89" s="904"/>
    </row>
    <row r="90" spans="1:7" x14ac:dyDescent="0.2">
      <c r="A90" s="898" t="s">
        <v>481</v>
      </c>
      <c r="B90" s="898" t="s">
        <v>172</v>
      </c>
      <c r="C90" s="900">
        <f>'Revenues 9-14'!B54</f>
        <v>1434</v>
      </c>
      <c r="D90" s="901" t="str">
        <f>'Revenues 9-14'!A54</f>
        <v>CTE - Transp Fees from Other Sources (Out of State)</v>
      </c>
      <c r="E90" s="896"/>
      <c r="F90" s="1800">
        <f>'Revenues 9-14'!F54</f>
        <v>0</v>
      </c>
      <c r="G90" s="904"/>
    </row>
    <row r="91" spans="1:7" x14ac:dyDescent="0.2">
      <c r="A91" s="898" t="s">
        <v>481</v>
      </c>
      <c r="B91" s="898" t="s">
        <v>173</v>
      </c>
      <c r="C91" s="905">
        <f>'Revenues 9-14'!B55</f>
        <v>1441</v>
      </c>
      <c r="D91" s="901" t="str">
        <f>'Revenues 9-14'!A55</f>
        <v>Special Ed - Transp Fees from Pupils or Parents (In State)</v>
      </c>
      <c r="E91" s="896"/>
      <c r="F91" s="1800">
        <f>'Revenues 9-14'!F55</f>
        <v>0</v>
      </c>
      <c r="G91" s="904"/>
    </row>
    <row r="92" spans="1:7" x14ac:dyDescent="0.2">
      <c r="A92" s="898" t="s">
        <v>481</v>
      </c>
      <c r="B92" s="898" t="s">
        <v>174</v>
      </c>
      <c r="C92" s="900">
        <f>'Revenues 9-14'!B57</f>
        <v>1443</v>
      </c>
      <c r="D92" s="901" t="str">
        <f>'Revenues 9-14'!A57</f>
        <v>Special Ed - Transp Fees from Other Sources (In State)</v>
      </c>
      <c r="E92" s="896"/>
      <c r="F92" s="1800">
        <f>'Revenues 9-14'!F57</f>
        <v>0</v>
      </c>
      <c r="G92" s="906"/>
    </row>
    <row r="93" spans="1:7" x14ac:dyDescent="0.2">
      <c r="A93" s="898" t="s">
        <v>481</v>
      </c>
      <c r="B93" s="898" t="s">
        <v>175</v>
      </c>
      <c r="C93" s="900">
        <f>'Revenues 9-14'!B58</f>
        <v>1444</v>
      </c>
      <c r="D93" s="901" t="str">
        <f>'Revenues 9-14'!A58</f>
        <v>Special Ed - Transp Fees from Other Sources (Out of State)</v>
      </c>
      <c r="E93" s="896"/>
      <c r="F93" s="1800">
        <f>'Revenues 9-14'!F58</f>
        <v>0</v>
      </c>
      <c r="G93" s="906"/>
    </row>
    <row r="94" spans="1:7" x14ac:dyDescent="0.2">
      <c r="A94" s="898" t="s">
        <v>479</v>
      </c>
      <c r="B94" s="898" t="s">
        <v>176</v>
      </c>
      <c r="C94" s="900">
        <v>1600</v>
      </c>
      <c r="D94" s="907" t="str">
        <f>'Revenues 9-14'!A75</f>
        <v>Total Food Service</v>
      </c>
      <c r="E94" s="896"/>
      <c r="F94" s="1800">
        <f>'Revenues 9-14'!C75</f>
        <v>0</v>
      </c>
      <c r="G94" s="902"/>
    </row>
    <row r="95" spans="1:7" x14ac:dyDescent="0.2">
      <c r="A95" s="898" t="s">
        <v>142</v>
      </c>
      <c r="B95" s="898" t="s">
        <v>177</v>
      </c>
      <c r="C95" s="900">
        <v>1700</v>
      </c>
      <c r="D95" s="908" t="str">
        <f>'Revenues 9-14'!A82</f>
        <v>Total District/School Activity Income</v>
      </c>
      <c r="E95" s="896"/>
      <c r="F95" s="1800">
        <f>SUM('Revenues 9-14'!C82,'Revenues 9-14'!D82)</f>
        <v>0</v>
      </c>
      <c r="G95" s="902"/>
    </row>
    <row r="96" spans="1:7" x14ac:dyDescent="0.2">
      <c r="A96" s="898" t="s">
        <v>479</v>
      </c>
      <c r="B96" s="898" t="s">
        <v>178</v>
      </c>
      <c r="C96" s="900">
        <f>'Revenues 9-14'!B84</f>
        <v>1811</v>
      </c>
      <c r="D96" s="901" t="str">
        <f>'Revenues 9-14'!A84</f>
        <v>Rentals - Regular Textbooks</v>
      </c>
      <c r="E96" s="896"/>
      <c r="F96" s="1800">
        <f>'Revenues 9-14'!C84</f>
        <v>0</v>
      </c>
      <c r="G96" s="902"/>
    </row>
    <row r="97" spans="1:7" x14ac:dyDescent="0.2">
      <c r="A97" s="898" t="s">
        <v>479</v>
      </c>
      <c r="B97" s="898" t="s">
        <v>179</v>
      </c>
      <c r="C97" s="900">
        <f>'Revenues 9-14'!B87</f>
        <v>1819</v>
      </c>
      <c r="D97" s="901" t="str">
        <f>'Revenues 9-14'!A87</f>
        <v>Rentals - Other (Describe &amp; Itemize)</v>
      </c>
      <c r="E97" s="896"/>
      <c r="F97" s="1800">
        <f>'Revenues 9-14'!C87</f>
        <v>0</v>
      </c>
      <c r="G97" s="902"/>
    </row>
    <row r="98" spans="1:7" x14ac:dyDescent="0.2">
      <c r="A98" s="898" t="s">
        <v>479</v>
      </c>
      <c r="B98" s="898" t="s">
        <v>180</v>
      </c>
      <c r="C98" s="900">
        <f>'Revenues 9-14'!B88</f>
        <v>1821</v>
      </c>
      <c r="D98" s="901" t="str">
        <f>'Revenues 9-14'!A88</f>
        <v>Sales - Regular Textbooks</v>
      </c>
      <c r="E98" s="896"/>
      <c r="F98" s="1800">
        <f>'Revenues 9-14'!C88</f>
        <v>0</v>
      </c>
      <c r="G98" s="902"/>
    </row>
    <row r="99" spans="1:7" x14ac:dyDescent="0.2">
      <c r="A99" s="898" t="s">
        <v>479</v>
      </c>
      <c r="B99" s="898" t="s">
        <v>181</v>
      </c>
      <c r="C99" s="900">
        <f>'Revenues 9-14'!B91</f>
        <v>1829</v>
      </c>
      <c r="D99" s="901" t="str">
        <f>'Revenues 9-14'!A91</f>
        <v>Sales - Other (Describe &amp; Itemize)</v>
      </c>
      <c r="E99" s="896"/>
      <c r="F99" s="1800">
        <f>'Revenues 9-14'!C91</f>
        <v>0</v>
      </c>
      <c r="G99" s="902"/>
    </row>
    <row r="100" spans="1:7" x14ac:dyDescent="0.2">
      <c r="A100" s="898" t="s">
        <v>479</v>
      </c>
      <c r="B100" s="898" t="s">
        <v>182</v>
      </c>
      <c r="C100" s="900">
        <f>'Revenues 9-14'!B92</f>
        <v>1890</v>
      </c>
      <c r="D100" s="901" t="str">
        <f>'Revenues 9-14'!A92</f>
        <v>Other (Describe &amp; Itemize)</v>
      </c>
      <c r="E100" s="896"/>
      <c r="F100" s="1800">
        <f>'Revenues 9-14'!C92</f>
        <v>0</v>
      </c>
      <c r="G100" s="902"/>
    </row>
    <row r="101" spans="1:7" x14ac:dyDescent="0.2">
      <c r="A101" s="898" t="s">
        <v>142</v>
      </c>
      <c r="B101" s="898" t="s">
        <v>183</v>
      </c>
      <c r="C101" s="900">
        <f>'Revenues 9-14'!B95</f>
        <v>1910</v>
      </c>
      <c r="D101" s="901" t="str">
        <f>'Revenues 9-14'!A95</f>
        <v>Rentals</v>
      </c>
      <c r="E101" s="896"/>
      <c r="F101" s="1800">
        <f>SUM('Revenues 9-14'!C95:D95)</f>
        <v>0</v>
      </c>
      <c r="G101" s="902"/>
    </row>
    <row r="102" spans="1:7" x14ac:dyDescent="0.2">
      <c r="A102" s="898" t="s">
        <v>524</v>
      </c>
      <c r="B102" s="898" t="s">
        <v>184</v>
      </c>
      <c r="C102" s="900">
        <f>'Revenues 9-14'!B98</f>
        <v>1940</v>
      </c>
      <c r="D102" s="901" t="str">
        <f>'Revenues 9-14'!A98</f>
        <v>Services Provided Other Districts</v>
      </c>
      <c r="E102" s="896"/>
      <c r="F102" s="1800">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800">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800">
        <f>('Revenues 9-14'!C106)</f>
        <v>0</v>
      </c>
      <c r="G104" s="902"/>
    </row>
    <row r="105" spans="1:7" x14ac:dyDescent="0.2">
      <c r="A105" s="898" t="s">
        <v>524</v>
      </c>
      <c r="B105" s="898" t="s">
        <v>842</v>
      </c>
      <c r="C105" s="903">
        <v>3100</v>
      </c>
      <c r="D105" s="909" t="str">
        <f>'Revenues 9-14'!A131</f>
        <v>Total Special Education</v>
      </c>
      <c r="E105" s="896"/>
      <c r="F105" s="1800">
        <f>SUM('Revenues 9-14'!C131:D131,'Revenues 9-14'!F131)</f>
        <v>0</v>
      </c>
      <c r="G105" s="902"/>
    </row>
    <row r="106" spans="1:7" x14ac:dyDescent="0.2">
      <c r="A106" s="898" t="s">
        <v>694</v>
      </c>
      <c r="B106" s="898" t="s">
        <v>1483</v>
      </c>
      <c r="C106" s="910">
        <v>3200</v>
      </c>
      <c r="D106" s="901" t="str">
        <f>'Revenues 9-14'!A140</f>
        <v>Total Career and Technical Education</v>
      </c>
      <c r="E106" s="896"/>
      <c r="F106" s="1800">
        <f>SUM('Revenues 9-14'!C140,'Revenues 9-14'!D140,'Revenues 9-14'!G140)</f>
        <v>195845</v>
      </c>
      <c r="G106" s="902"/>
    </row>
    <row r="107" spans="1:7" x14ac:dyDescent="0.2">
      <c r="A107" s="911" t="s">
        <v>685</v>
      </c>
      <c r="B107" s="898" t="s">
        <v>843</v>
      </c>
      <c r="C107" s="910">
        <v>3300</v>
      </c>
      <c r="D107" s="901" t="str">
        <f>'Revenues 9-14'!A144</f>
        <v>Total Bilingual Ed</v>
      </c>
      <c r="E107" s="896"/>
      <c r="F107" s="1800">
        <f>SUM('Revenues 9-14'!C144,'Revenues 9-14'!G144)</f>
        <v>0</v>
      </c>
      <c r="G107" s="902"/>
    </row>
    <row r="108" spans="1:7" x14ac:dyDescent="0.2">
      <c r="A108" s="898" t="s">
        <v>479</v>
      </c>
      <c r="B108" s="898" t="s">
        <v>844</v>
      </c>
      <c r="C108" s="910">
        <f>'Revenues 9-14'!B145</f>
        <v>3360</v>
      </c>
      <c r="D108" s="901" t="str">
        <f>'Revenues 9-14'!A145</f>
        <v>State Free Lunch &amp; Breakfast</v>
      </c>
      <c r="E108" s="896"/>
      <c r="F108" s="1800">
        <f>'Revenues 9-14'!C145</f>
        <v>0</v>
      </c>
      <c r="G108" s="902"/>
    </row>
    <row r="109" spans="1:7" x14ac:dyDescent="0.2">
      <c r="A109" s="898" t="s">
        <v>694</v>
      </c>
      <c r="B109" s="898" t="s">
        <v>845</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800">
        <f>SUM('Revenues 9-14'!C147,'Revenues 9-14'!D147)</f>
        <v>0</v>
      </c>
      <c r="G110" s="902"/>
    </row>
    <row r="111" spans="1:7" x14ac:dyDescent="0.2">
      <c r="A111" s="898" t="s">
        <v>689</v>
      </c>
      <c r="B111" s="898" t="s">
        <v>802</v>
      </c>
      <c r="C111" s="912">
        <v>3500</v>
      </c>
      <c r="D111" s="901" t="str">
        <f>'Revenues 9-14'!A154</f>
        <v>Total Transportation</v>
      </c>
      <c r="E111" s="896"/>
      <c r="F111" s="1800">
        <f>SUM('Revenues 9-14'!C154,'Revenues 9-14'!D154,'Revenues 9-14'!F154,'Revenues 9-14'!G154)</f>
        <v>0</v>
      </c>
      <c r="G111" s="902"/>
    </row>
    <row r="112" spans="1:7" x14ac:dyDescent="0.2">
      <c r="A112" s="898" t="s">
        <v>479</v>
      </c>
      <c r="B112" s="898" t="s">
        <v>847</v>
      </c>
      <c r="C112" s="910">
        <f>'Revenues 9-14'!B155</f>
        <v>3610</v>
      </c>
      <c r="D112" s="901" t="str">
        <f>'Revenues 9-14'!A155</f>
        <v>Learning Improvement - Change Grants</v>
      </c>
      <c r="E112" s="896"/>
      <c r="F112" s="1800">
        <f>'Revenues 9-14'!C155</f>
        <v>0</v>
      </c>
      <c r="G112" s="902"/>
    </row>
    <row r="113" spans="1:7" x14ac:dyDescent="0.2">
      <c r="A113" s="898" t="s">
        <v>689</v>
      </c>
      <c r="B113" s="898" t="s">
        <v>848</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21">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22">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22">
        <f>SUM('Revenues 9-14'!C166:G166)</f>
        <v>0</v>
      </c>
      <c r="G122" s="902"/>
    </row>
    <row r="123" spans="1:7" x14ac:dyDescent="0.2">
      <c r="A123" s="913" t="s">
        <v>525</v>
      </c>
      <c r="B123" s="913" t="s">
        <v>853</v>
      </c>
      <c r="C123" s="914">
        <f>'Revenues 9-14'!B167</f>
        <v>3815</v>
      </c>
      <c r="D123" s="915" t="str">
        <f>'Revenues 9-14'!A167</f>
        <v>State Charter Schools</v>
      </c>
      <c r="E123" s="896"/>
      <c r="F123" s="1922">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800">
        <f>'Revenues 9-14'!D170</f>
        <v>0</v>
      </c>
      <c r="G124" s="920"/>
    </row>
    <row r="125" spans="1:7" x14ac:dyDescent="0.2">
      <c r="A125" s="917" t="s">
        <v>521</v>
      </c>
      <c r="B125" s="917" t="s">
        <v>855</v>
      </c>
      <c r="C125" s="918">
        <f>'Revenues 9-14'!B171</f>
        <v>3999</v>
      </c>
      <c r="D125" s="919" t="s">
        <v>564</v>
      </c>
      <c r="E125" s="921"/>
      <c r="F125" s="1800">
        <f>SUM('Revenues 9-14'!C171:G171,'Revenues 9-14'!J171)</f>
        <v>0</v>
      </c>
      <c r="G125" s="920"/>
    </row>
    <row r="126" spans="1:7" x14ac:dyDescent="0.2">
      <c r="A126" s="917" t="s">
        <v>479</v>
      </c>
      <c r="B126" s="917" t="s">
        <v>856</v>
      </c>
      <c r="C126" s="922">
        <f>'Revenues 9-14'!B180</f>
        <v>4045</v>
      </c>
      <c r="D126" s="919" t="str">
        <f>'Revenues 9-14'!A180 &amp; " (Subtract)"</f>
        <v>Head Start (Subtract)</v>
      </c>
      <c r="E126" s="896"/>
      <c r="F126" s="1800">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689</v>
      </c>
      <c r="B128" s="917" t="s">
        <v>858</v>
      </c>
      <c r="C128" s="922">
        <v>4100</v>
      </c>
      <c r="D128" s="923" t="str">
        <f>'Revenues 9-14'!A191</f>
        <v>Total Title V</v>
      </c>
      <c r="E128" s="896"/>
      <c r="F128" s="1800">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800">
        <f>SUM('Revenues 9-14'!C201,'Revenues 9-14'!G201)</f>
        <v>0</v>
      </c>
      <c r="G129" s="920"/>
    </row>
    <row r="130" spans="1:7" x14ac:dyDescent="0.2">
      <c r="A130" s="917" t="s">
        <v>689</v>
      </c>
      <c r="B130" s="917" t="s">
        <v>804</v>
      </c>
      <c r="C130" s="922">
        <v>4300</v>
      </c>
      <c r="D130" s="923" t="str">
        <f>'Revenues 9-14'!A211</f>
        <v>Total Title I</v>
      </c>
      <c r="E130" s="896"/>
      <c r="F130" s="1800">
        <f>SUM('Revenues 9-14'!C211,'Revenues 9-14'!D211,'Revenues 9-14'!F211,'Revenues 9-14'!G211)</f>
        <v>0</v>
      </c>
      <c r="G130" s="920"/>
    </row>
    <row r="131" spans="1:7" x14ac:dyDescent="0.2">
      <c r="A131" s="917" t="s">
        <v>689</v>
      </c>
      <c r="B131" s="917" t="s">
        <v>805</v>
      </c>
      <c r="C131" s="922">
        <v>4400</v>
      </c>
      <c r="D131" s="923" t="str">
        <f>'Revenues 9-14'!A216</f>
        <v>Total Title IV</v>
      </c>
      <c r="E131" s="896"/>
      <c r="F131" s="1800">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800">
        <f>SUM('Revenues 9-14'!C220:D220,'Revenues 9-14'!F220:G220)</f>
        <v>0</v>
      </c>
      <c r="G132" s="920"/>
    </row>
    <row r="133" spans="1:7" x14ac:dyDescent="0.2">
      <c r="A133" s="917" t="s">
        <v>689</v>
      </c>
      <c r="B133" s="917" t="s">
        <v>191</v>
      </c>
      <c r="C133" s="922">
        <f>'Revenues 9-14'!B221</f>
        <v>4625</v>
      </c>
      <c r="D133" s="923" t="str">
        <f>'Revenues 9-14'!A221</f>
        <v>Fed - Spec Education - IDEA - Room &amp; Board</v>
      </c>
      <c r="E133" s="896"/>
      <c r="F133" s="1800">
        <f>SUM('Revenues 9-14'!C221,'Revenues 9-14'!D221,'Revenues 9-14'!F221,'Revenues 9-14'!G221)</f>
        <v>0</v>
      </c>
      <c r="G133" s="920"/>
    </row>
    <row r="134" spans="1:7" x14ac:dyDescent="0.2">
      <c r="A134" s="917" t="s">
        <v>689</v>
      </c>
      <c r="B134" s="917" t="s">
        <v>859</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694</v>
      </c>
      <c r="B136" s="917" t="s">
        <v>807</v>
      </c>
      <c r="C136" s="922">
        <v>4700</v>
      </c>
      <c r="D136" s="919" t="str">
        <f>'Revenues 9-14'!A228</f>
        <v>Total CTE - Perkins</v>
      </c>
      <c r="E136" s="896"/>
      <c r="F136" s="1800">
        <f>SUM('Revenues 9-14'!C228,'Revenues 9-14'!D228,'Revenues 9-14'!G228)</f>
        <v>101000</v>
      </c>
      <c r="G136" s="920">
        <v>6303</v>
      </c>
    </row>
    <row r="137" spans="1:7" s="857" customFormat="1" hidden="1" x14ac:dyDescent="0.2">
      <c r="A137" s="924" t="s">
        <v>215</v>
      </c>
      <c r="B137" s="924" t="s">
        <v>1484</v>
      </c>
      <c r="C137" s="925" t="s">
        <v>216</v>
      </c>
      <c r="D137" s="926" t="str">
        <f>'Revenues 9-14'!A231</f>
        <v>ARRA - Title I - Low Income</v>
      </c>
      <c r="E137" s="927"/>
      <c r="F137" s="1922">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800">
        <f>SUM('Revenues 9-14'!C258:G258,'Revenues 9-14'!J258)</f>
        <v>0</v>
      </c>
      <c r="G160" s="895"/>
    </row>
    <row r="161" spans="1:7" s="857" customFormat="1" x14ac:dyDescent="0.2">
      <c r="A161" s="928" t="s">
        <v>521</v>
      </c>
      <c r="B161" s="929" t="s">
        <v>1564</v>
      </c>
      <c r="C161" s="930" t="s">
        <v>896</v>
      </c>
      <c r="D161" s="931" t="s">
        <v>808</v>
      </c>
      <c r="E161" s="932"/>
      <c r="F161" s="1800">
        <f>SUM(F137:F160)</f>
        <v>0</v>
      </c>
      <c r="G161" s="895"/>
    </row>
    <row r="162" spans="1:7" s="857" customFormat="1" x14ac:dyDescent="0.2">
      <c r="A162" s="928" t="s">
        <v>479</v>
      </c>
      <c r="B162" s="929" t="s">
        <v>1501</v>
      </c>
      <c r="C162" s="930" t="s">
        <v>1499</v>
      </c>
      <c r="D162" s="931" t="s">
        <v>1500</v>
      </c>
      <c r="E162" s="932"/>
      <c r="F162" s="1800">
        <f>SUM('Revenues 9-14'!C260)</f>
        <v>0</v>
      </c>
      <c r="G162" s="895"/>
    </row>
    <row r="163" spans="1:7" s="857" customFormat="1" x14ac:dyDescent="0.2">
      <c r="A163" s="928" t="s">
        <v>521</v>
      </c>
      <c r="B163" s="929" t="s">
        <v>1541</v>
      </c>
      <c r="C163" s="930" t="s">
        <v>1542</v>
      </c>
      <c r="D163" s="931" t="s">
        <v>1543</v>
      </c>
      <c r="E163" s="932"/>
      <c r="F163" s="1800">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800">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800">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800">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22">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22">
        <f>SUM('Revenues 9-14'!C268,'Revenues 9-14'!D268,'Revenues 9-14'!F268,'Revenues 9-14'!G268)</f>
        <v>0</v>
      </c>
      <c r="G170" s="920"/>
    </row>
    <row r="171" spans="1:7" x14ac:dyDescent="0.2">
      <c r="A171" s="917" t="s">
        <v>689</v>
      </c>
      <c r="B171" s="917" t="s">
        <v>864</v>
      </c>
      <c r="C171" s="922">
        <f>'Revenues 9-14'!B269</f>
        <v>4960</v>
      </c>
      <c r="D171" s="919" t="str">
        <f>'Revenues 9-14'!A269</f>
        <v>Federal Charter Schools</v>
      </c>
      <c r="E171" s="896"/>
      <c r="F171" s="1800">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800">
        <f>SUM('Revenues 9-14'!C270:D270,'Revenues 9-14'!F270:G270)</f>
        <v>0</v>
      </c>
      <c r="G172" s="937">
        <v>6320</v>
      </c>
    </row>
    <row r="173" spans="1:7" x14ac:dyDescent="0.2">
      <c r="A173" s="917" t="s">
        <v>689</v>
      </c>
      <c r="B173" s="917" t="s">
        <v>1503</v>
      </c>
      <c r="C173" s="922">
        <f>'Revenues 9-14'!B271</f>
        <v>4992</v>
      </c>
      <c r="D173" s="923" t="str">
        <f>'Revenues 9-14'!A271</f>
        <v>Medicaid Matching Funds - Fee-for-Service Program</v>
      </c>
      <c r="E173" s="896"/>
      <c r="F173" s="1800">
        <f>SUM('Revenues 9-14'!C271:D271,'Revenues 9-14'!F271:G271)</f>
        <v>0</v>
      </c>
      <c r="G173" s="937"/>
    </row>
    <row r="174" spans="1:7" x14ac:dyDescent="0.2">
      <c r="A174" s="938" t="s">
        <v>689</v>
      </c>
      <c r="B174" s="934" t="s">
        <v>1558</v>
      </c>
      <c r="C174" s="935">
        <f>'Revenues 9-14'!B272</f>
        <v>4999</v>
      </c>
      <c r="D174" s="936" t="str">
        <f>'Revenues 9-14'!A272</f>
        <v>Other Restricted Revenue from Federal Sources (Describe &amp; Itemize)</v>
      </c>
      <c r="E174" s="896"/>
      <c r="F174" s="1800">
        <f>SUM('Revenues 9-14'!C272:D272,'Revenues 9-14'!F272:G272)</f>
        <v>0</v>
      </c>
      <c r="G174" s="917"/>
    </row>
    <row r="175" spans="1:7" x14ac:dyDescent="0.2">
      <c r="A175" s="1933" t="s">
        <v>5</v>
      </c>
      <c r="B175" s="1934" t="s">
        <v>2058</v>
      </c>
      <c r="C175" s="1935">
        <v>3100</v>
      </c>
      <c r="D175" s="1936" t="s">
        <v>2061</v>
      </c>
      <c r="E175" s="896"/>
      <c r="F175" s="1920"/>
      <c r="G175" s="917"/>
    </row>
    <row r="176" spans="1:7" x14ac:dyDescent="0.2">
      <c r="A176" s="1933" t="s">
        <v>685</v>
      </c>
      <c r="B176" s="1934" t="s">
        <v>2058</v>
      </c>
      <c r="C176" s="1935">
        <v>3300</v>
      </c>
      <c r="D176" s="1936" t="s">
        <v>2062</v>
      </c>
      <c r="E176" s="896"/>
      <c r="F176" s="1920"/>
      <c r="G176" s="917"/>
    </row>
    <row r="177" spans="1:7" ht="6" customHeight="1" x14ac:dyDescent="0.2">
      <c r="A177" s="917"/>
      <c r="B177" s="917"/>
      <c r="C177" s="939"/>
      <c r="D177" s="917"/>
      <c r="E177" s="896"/>
      <c r="F177" s="940"/>
      <c r="G177" s="937"/>
    </row>
    <row r="178" spans="1:7" x14ac:dyDescent="0.2">
      <c r="A178" s="1781"/>
      <c r="B178" s="1795"/>
      <c r="C178" s="1796"/>
      <c r="D178" s="1797" t="s">
        <v>2014</v>
      </c>
      <c r="E178" s="1798" t="s">
        <v>1015</v>
      </c>
      <c r="F178" s="1799">
        <f>SUM(F84:F136,F161:F176)</f>
        <v>296845</v>
      </c>
    </row>
    <row r="179" spans="1:7" ht="12" customHeight="1" x14ac:dyDescent="0.2">
      <c r="A179" s="1781"/>
      <c r="B179" s="1795"/>
      <c r="C179" s="1796"/>
      <c r="D179" s="1797" t="s">
        <v>2015</v>
      </c>
      <c r="E179" s="1798"/>
      <c r="F179" s="1800">
        <f>'PCTC-OEPP 27-28'!F77-F178</f>
        <v>62441</v>
      </c>
    </row>
    <row r="180" spans="1:7" ht="12" customHeight="1" x14ac:dyDescent="0.2">
      <c r="A180" s="1781"/>
      <c r="B180" s="1795"/>
      <c r="C180" s="1796"/>
      <c r="D180" s="1797" t="s">
        <v>1924</v>
      </c>
      <c r="E180" s="1798"/>
      <c r="F180" s="1800">
        <f>'Cap Outlay Deprec 26'!I18</f>
        <v>0</v>
      </c>
    </row>
    <row r="181" spans="1:7" ht="12" customHeight="1" x14ac:dyDescent="0.2">
      <c r="A181" s="1781"/>
      <c r="B181" s="1795"/>
      <c r="C181" s="1796"/>
      <c r="D181" s="1797" t="s">
        <v>2016</v>
      </c>
      <c r="E181" s="1798"/>
      <c r="F181" s="1800">
        <f>F179+F180</f>
        <v>62441</v>
      </c>
    </row>
    <row r="182" spans="1:7" ht="12" customHeight="1" x14ac:dyDescent="0.2">
      <c r="A182" s="1781"/>
      <c r="B182" s="1801"/>
      <c r="C182" s="1796"/>
      <c r="D182" s="1797" t="str">
        <f>D78</f>
        <v>9 Month ADA from District Average Daily Attendance/Prior General State Aid Inquiry 2017-2018</v>
      </c>
      <c r="E182" s="1798"/>
      <c r="F182" s="1802">
        <f>'PCTC-OEPP 27-28'!F78</f>
        <v>0</v>
      </c>
      <c r="G182" s="920"/>
    </row>
    <row r="183" spans="1:7" ht="12" customHeight="1" thickBot="1" x14ac:dyDescent="0.25">
      <c r="A183" s="1781"/>
      <c r="B183" s="1801"/>
      <c r="C183" s="1796"/>
      <c r="D183" s="1797" t="s">
        <v>2017</v>
      </c>
      <c r="E183" s="1798" t="s">
        <v>1626</v>
      </c>
      <c r="F183" s="1803" t="e">
        <f>F181/F182</f>
        <v>#DIV/0!</v>
      </c>
      <c r="G183" s="846">
        <v>6323</v>
      </c>
    </row>
    <row r="184" spans="1:7" ht="12" thickTop="1" x14ac:dyDescent="0.2">
      <c r="B184" s="920"/>
      <c r="C184" s="939"/>
      <c r="D184" s="920"/>
      <c r="E184" s="939"/>
      <c r="F184" s="920"/>
      <c r="G184" s="941">
        <v>6326</v>
      </c>
    </row>
    <row r="185" spans="1:7" ht="12.2" customHeight="1" x14ac:dyDescent="0.2">
      <c r="A185" s="920" t="s">
        <v>2060</v>
      </c>
      <c r="B185" s="920"/>
      <c r="C185" s="939"/>
      <c r="D185" s="920"/>
      <c r="E185" s="939"/>
      <c r="F185" s="920"/>
      <c r="G185" s="920"/>
    </row>
    <row r="186" spans="1:7" s="1937" customFormat="1" ht="12.2" customHeight="1" x14ac:dyDescent="0.2">
      <c r="A186" s="1937" t="s">
        <v>2065</v>
      </c>
      <c r="B186" s="1938"/>
      <c r="C186" s="1939"/>
      <c r="D186" s="1938"/>
      <c r="E186" s="1939"/>
      <c r="F186" s="1938"/>
      <c r="G186" s="1938"/>
    </row>
    <row r="187" spans="1:7" s="1937" customFormat="1" ht="12.2" customHeight="1" x14ac:dyDescent="0.2">
      <c r="A187" s="1940" t="s">
        <v>2066</v>
      </c>
      <c r="C187" s="1939"/>
      <c r="D187" s="1938"/>
      <c r="E187" s="1939"/>
      <c r="F187" s="1938"/>
      <c r="G187" s="1938"/>
    </row>
    <row r="188" spans="1:7" ht="12" customHeight="1" x14ac:dyDescent="0.2">
      <c r="C188" s="939"/>
      <c r="D188" s="920"/>
      <c r="E188" s="939"/>
      <c r="F188" s="920"/>
      <c r="G188" s="920"/>
    </row>
    <row r="189" spans="1:7" x14ac:dyDescent="0.2">
      <c r="A189" s="1941" t="s">
        <v>2064</v>
      </c>
      <c r="B189" s="1942" t="s">
        <v>2063</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activeCell="H12" sqref="H12"/>
      <selection pane="bottomLeft" activeCell="H12" sqref="H12"/>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1940</v>
      </c>
      <c r="B1" s="1671"/>
      <c r="C1" s="1671"/>
      <c r="D1" s="1671"/>
      <c r="E1" s="1671"/>
      <c r="F1" s="1671"/>
      <c r="G1" s="1671"/>
    </row>
    <row r="2" spans="1:7" x14ac:dyDescent="0.25">
      <c r="A2" s="1668"/>
      <c r="B2" s="1668"/>
      <c r="C2" s="1669" t="s">
        <v>1036</v>
      </c>
      <c r="D2" s="1668"/>
      <c r="E2" s="1668"/>
      <c r="F2" s="1668"/>
      <c r="G2" s="1668"/>
    </row>
    <row r="3" spans="1:7" ht="5.25" customHeight="1" x14ac:dyDescent="0.25">
      <c r="A3" s="1556"/>
      <c r="B3" s="1556"/>
      <c r="C3" s="1556"/>
      <c r="D3" s="1556"/>
      <c r="E3" s="1556"/>
      <c r="F3" s="1556"/>
      <c r="G3" s="1556"/>
    </row>
    <row r="4" spans="1:7" ht="18.75" customHeight="1" x14ac:dyDescent="0.25">
      <c r="A4" s="2278" t="s">
        <v>1925</v>
      </c>
      <c r="B4" s="2279"/>
      <c r="C4" s="2279"/>
      <c r="D4" s="2279"/>
      <c r="E4" s="2279"/>
      <c r="F4" s="2279"/>
      <c r="G4" s="2280"/>
    </row>
    <row r="5" spans="1:7" x14ac:dyDescent="0.25">
      <c r="A5" s="2281"/>
      <c r="B5" s="2282"/>
      <c r="C5" s="2282"/>
      <c r="D5" s="2282"/>
      <c r="E5" s="2282"/>
      <c r="F5" s="2282"/>
      <c r="G5" s="2283"/>
    </row>
    <row r="6" spans="1:7" ht="18.75" x14ac:dyDescent="0.25">
      <c r="A6" s="1545" t="s">
        <v>1926</v>
      </c>
      <c r="B6" s="1546"/>
      <c r="C6" s="1546"/>
      <c r="D6" s="1546"/>
      <c r="E6" s="1546"/>
      <c r="F6" s="1546"/>
      <c r="G6" s="1547"/>
    </row>
    <row r="7" spans="1:7" ht="30.75" customHeight="1" x14ac:dyDescent="0.25">
      <c r="A7" s="2284" t="s">
        <v>2075</v>
      </c>
      <c r="B7" s="2285"/>
      <c r="C7" s="2285"/>
      <c r="D7" s="2285"/>
      <c r="E7" s="2285"/>
      <c r="F7" s="2285"/>
      <c r="G7" s="2286"/>
    </row>
    <row r="8" spans="1:7" ht="15.75" customHeight="1" x14ac:dyDescent="0.25">
      <c r="A8" s="2287" t="s">
        <v>2024</v>
      </c>
      <c r="B8" s="2288"/>
      <c r="C8" s="2288"/>
      <c r="D8" s="2288"/>
      <c r="E8" s="2288"/>
      <c r="F8" s="2288"/>
      <c r="G8" s="2289"/>
    </row>
    <row r="9" spans="1:7" ht="35.25" customHeight="1" x14ac:dyDescent="0.25">
      <c r="A9" s="2284" t="s">
        <v>2023</v>
      </c>
      <c r="B9" s="2285"/>
      <c r="C9" s="2285"/>
      <c r="D9" s="2285"/>
      <c r="E9" s="2285"/>
      <c r="F9" s="2285"/>
      <c r="G9" s="2286"/>
    </row>
    <row r="10" spans="1:7" ht="15" customHeight="1" x14ac:dyDescent="0.25">
      <c r="A10" s="1548" t="s">
        <v>1927</v>
      </c>
      <c r="B10" s="1549"/>
      <c r="C10" s="1549"/>
      <c r="D10" s="1549"/>
      <c r="E10" s="1549"/>
      <c r="F10" s="1549"/>
      <c r="G10" s="1550"/>
    </row>
    <row r="11" spans="1:7" ht="17.25" customHeight="1" x14ac:dyDescent="0.25">
      <c r="A11" s="2284" t="s">
        <v>1941</v>
      </c>
      <c r="B11" s="2285"/>
      <c r="C11" s="2285"/>
      <c r="D11" s="2285"/>
      <c r="E11" s="2285"/>
      <c r="F11" s="2285"/>
      <c r="G11" s="2286"/>
    </row>
    <row r="12" spans="1:7" ht="15" customHeight="1" x14ac:dyDescent="0.25">
      <c r="A12" s="1548" t="s">
        <v>1932</v>
      </c>
      <c r="B12" s="1549"/>
      <c r="C12" s="1549"/>
      <c r="D12" s="1549"/>
      <c r="E12" s="1549"/>
      <c r="F12" s="1549"/>
      <c r="G12" s="1550"/>
    </row>
    <row r="13" spans="1:7" ht="32.25" customHeight="1" x14ac:dyDescent="0.25">
      <c r="A13" s="2275" t="s">
        <v>1933</v>
      </c>
      <c r="B13" s="2276"/>
      <c r="C13" s="2276"/>
      <c r="D13" s="2276"/>
      <c r="E13" s="2276"/>
      <c r="F13" s="2276"/>
      <c r="G13" s="2277"/>
    </row>
    <row r="14" spans="1:7" x14ac:dyDescent="0.25">
      <c r="A14" s="1672" t="s">
        <v>1942</v>
      </c>
      <c r="B14" s="1673"/>
      <c r="C14" s="1673"/>
      <c r="D14" s="1673"/>
      <c r="E14" s="1673"/>
      <c r="F14" s="1673"/>
      <c r="G14" s="1674"/>
    </row>
    <row r="15" spans="1:7" ht="61.5" customHeight="1" x14ac:dyDescent="0.25">
      <c r="A15" s="1557" t="s">
        <v>1934</v>
      </c>
      <c r="B15" s="1557" t="s">
        <v>1935</v>
      </c>
      <c r="C15" s="1557" t="s">
        <v>1936</v>
      </c>
      <c r="D15" s="1558" t="s">
        <v>1937</v>
      </c>
      <c r="E15" s="1558" t="s">
        <v>1928</v>
      </c>
      <c r="F15" s="1558" t="s">
        <v>1938</v>
      </c>
      <c r="G15" s="1558" t="s">
        <v>1939</v>
      </c>
    </row>
    <row r="16" spans="1:7" x14ac:dyDescent="0.25">
      <c r="A16" s="1659" t="s">
        <v>1943</v>
      </c>
      <c r="B16" s="1660" t="s">
        <v>1931</v>
      </c>
      <c r="C16" s="1661" t="s">
        <v>1929</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666"/>
      <c r="B17" s="1857"/>
      <c r="C17" s="1947" t="s">
        <v>2093</v>
      </c>
      <c r="D17" s="1948">
        <v>0</v>
      </c>
      <c r="E17" s="1551">
        <f t="shared" ref="E17:E141" si="1">IF(D17&lt;=25000,D17,IF(D17&gt;25000,25000,0))</f>
        <v>0</v>
      </c>
      <c r="F17" s="1804">
        <f t="shared" si="0"/>
        <v>0</v>
      </c>
      <c r="G17" s="1805">
        <f>IF(F17=0,0,D17-F17)</f>
        <v>0</v>
      </c>
      <c r="H17" s="1658"/>
    </row>
    <row r="18" spans="1:8" x14ac:dyDescent="0.25">
      <c r="A18" s="1664"/>
      <c r="B18" s="1857"/>
      <c r="C18" s="1667"/>
      <c r="D18" s="1856"/>
      <c r="E18" s="1551">
        <f t="shared" ref="E18:E140" si="2">IF(D18&lt;=25000,D18,IF(D18&gt;25000,25000,0))</f>
        <v>0</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5">
        <f t="shared" ref="G18:G140" si="4">IF(F18=0,0,D18-F18)</f>
        <v>0</v>
      </c>
    </row>
    <row r="19" spans="1:8" x14ac:dyDescent="0.25">
      <c r="A19" s="1664"/>
      <c r="B19" s="1858"/>
      <c r="C19" s="1667"/>
      <c r="D19" s="1856"/>
      <c r="E19" s="1551">
        <f t="shared" si="2"/>
        <v>0</v>
      </c>
      <c r="F19" s="1804">
        <f t="shared" si="3"/>
        <v>0</v>
      </c>
      <c r="G19" s="1805">
        <f t="shared" si="4"/>
        <v>0</v>
      </c>
    </row>
    <row r="20" spans="1:8" x14ac:dyDescent="0.25">
      <c r="A20" s="1664"/>
      <c r="B20" s="1857"/>
      <c r="C20" s="1667"/>
      <c r="D20" s="1856"/>
      <c r="E20" s="1551">
        <f t="shared" si="2"/>
        <v>0</v>
      </c>
      <c r="F20" s="1804">
        <f t="shared" si="3"/>
        <v>0</v>
      </c>
      <c r="G20" s="1805">
        <f t="shared" si="4"/>
        <v>0</v>
      </c>
    </row>
    <row r="21" spans="1:8" x14ac:dyDescent="0.25">
      <c r="A21" s="1664"/>
      <c r="B21" s="1857"/>
      <c r="C21" s="1667"/>
      <c r="D21" s="1856"/>
      <c r="E21" s="1551">
        <f t="shared" si="2"/>
        <v>0</v>
      </c>
      <c r="F21" s="1804">
        <f t="shared" si="3"/>
        <v>0</v>
      </c>
      <c r="G21" s="1805">
        <f t="shared" si="4"/>
        <v>0</v>
      </c>
    </row>
    <row r="22" spans="1:8" x14ac:dyDescent="0.25">
      <c r="A22" s="1664"/>
      <c r="B22" s="1857"/>
      <c r="C22" s="1667"/>
      <c r="D22" s="1856"/>
      <c r="E22" s="1551">
        <f t="shared" si="2"/>
        <v>0</v>
      </c>
      <c r="F22" s="1804">
        <f t="shared" si="3"/>
        <v>0</v>
      </c>
      <c r="G22" s="1805">
        <f t="shared" si="4"/>
        <v>0</v>
      </c>
    </row>
    <row r="23" spans="1:8" x14ac:dyDescent="0.25">
      <c r="A23" s="1664"/>
      <c r="B23" s="1857"/>
      <c r="C23" s="1667"/>
      <c r="D23" s="1856"/>
      <c r="E23" s="1551">
        <f t="shared" si="2"/>
        <v>0</v>
      </c>
      <c r="F23" s="1804">
        <f t="shared" si="3"/>
        <v>0</v>
      </c>
      <c r="G23" s="1805">
        <f t="shared" si="4"/>
        <v>0</v>
      </c>
    </row>
    <row r="24" spans="1:8" x14ac:dyDescent="0.25">
      <c r="A24" s="1664"/>
      <c r="B24" s="1858"/>
      <c r="C24" s="1667"/>
      <c r="D24" s="1856"/>
      <c r="E24" s="1551">
        <f t="shared" si="2"/>
        <v>0</v>
      </c>
      <c r="F24" s="1804">
        <f t="shared" si="3"/>
        <v>0</v>
      </c>
      <c r="G24" s="1805">
        <f t="shared" si="4"/>
        <v>0</v>
      </c>
    </row>
    <row r="25" spans="1:8" x14ac:dyDescent="0.25">
      <c r="A25" s="1664"/>
      <c r="B25" s="1857"/>
      <c r="C25" s="1667"/>
      <c r="D25" s="1856"/>
      <c r="E25" s="1551">
        <f t="shared" si="2"/>
        <v>0</v>
      </c>
      <c r="F25" s="1804">
        <f t="shared" si="3"/>
        <v>0</v>
      </c>
      <c r="G25" s="1805">
        <f t="shared" si="4"/>
        <v>0</v>
      </c>
    </row>
    <row r="26" spans="1:8" x14ac:dyDescent="0.25">
      <c r="A26" s="1664"/>
      <c r="B26" s="1858"/>
      <c r="C26" s="1665"/>
      <c r="D26" s="1856"/>
      <c r="E26" s="1551">
        <f t="shared" si="2"/>
        <v>0</v>
      </c>
      <c r="F26" s="1804">
        <f t="shared" si="3"/>
        <v>0</v>
      </c>
      <c r="G26" s="1805">
        <f t="shared" si="4"/>
        <v>0</v>
      </c>
    </row>
    <row r="27" spans="1:8" x14ac:dyDescent="0.25">
      <c r="A27" s="1664"/>
      <c r="B27" s="1858"/>
      <c r="C27" s="1665"/>
      <c r="D27" s="1856"/>
      <c r="E27" s="1551">
        <f t="shared" si="2"/>
        <v>0</v>
      </c>
      <c r="F27" s="1804">
        <f t="shared" si="3"/>
        <v>0</v>
      </c>
      <c r="G27" s="1805">
        <f t="shared" si="4"/>
        <v>0</v>
      </c>
    </row>
    <row r="28" spans="1:8" x14ac:dyDescent="0.25">
      <c r="A28" s="1664"/>
      <c r="B28" s="1858"/>
      <c r="C28" s="1665"/>
      <c r="D28" s="1856"/>
      <c r="E28" s="1551">
        <f t="shared" si="2"/>
        <v>0</v>
      </c>
      <c r="F28" s="1804">
        <f t="shared" si="3"/>
        <v>0</v>
      </c>
      <c r="G28" s="1805">
        <f t="shared" si="4"/>
        <v>0</v>
      </c>
    </row>
    <row r="29" spans="1:8" x14ac:dyDescent="0.25">
      <c r="A29" s="1664"/>
      <c r="B29" s="1858"/>
      <c r="C29" s="1665"/>
      <c r="D29" s="1856"/>
      <c r="E29" s="1551">
        <f t="shared" si="2"/>
        <v>0</v>
      </c>
      <c r="F29" s="1804">
        <f t="shared" si="3"/>
        <v>0</v>
      </c>
      <c r="G29" s="1805">
        <f t="shared" si="4"/>
        <v>0</v>
      </c>
    </row>
    <row r="30" spans="1:8" x14ac:dyDescent="0.25">
      <c r="A30" s="1664"/>
      <c r="B30" s="1858"/>
      <c r="C30" s="1665"/>
      <c r="D30" s="1856"/>
      <c r="E30" s="1551">
        <f t="shared" si="2"/>
        <v>0</v>
      </c>
      <c r="F30" s="1804">
        <f t="shared" si="3"/>
        <v>0</v>
      </c>
      <c r="G30" s="1805">
        <f t="shared" si="4"/>
        <v>0</v>
      </c>
    </row>
    <row r="31" spans="1:8" x14ac:dyDescent="0.25">
      <c r="A31" s="1664"/>
      <c r="B31" s="1858"/>
      <c r="C31" s="1665"/>
      <c r="D31" s="1856"/>
      <c r="E31" s="1551">
        <f t="shared" si="2"/>
        <v>0</v>
      </c>
      <c r="F31" s="1804">
        <f t="shared" si="3"/>
        <v>0</v>
      </c>
      <c r="G31" s="1805">
        <f t="shared" si="4"/>
        <v>0</v>
      </c>
    </row>
    <row r="32" spans="1:8" x14ac:dyDescent="0.25">
      <c r="A32" s="1664"/>
      <c r="B32" s="1858"/>
      <c r="C32" s="1665"/>
      <c r="D32" s="1856"/>
      <c r="E32" s="1551">
        <f t="shared" si="2"/>
        <v>0</v>
      </c>
      <c r="F32" s="1804">
        <f t="shared" si="3"/>
        <v>0</v>
      </c>
      <c r="G32" s="1805">
        <f t="shared" si="4"/>
        <v>0</v>
      </c>
    </row>
    <row r="33" spans="1:7" x14ac:dyDescent="0.25">
      <c r="A33" s="1664"/>
      <c r="B33" s="1858"/>
      <c r="C33" s="1665"/>
      <c r="D33" s="1856"/>
      <c r="E33" s="1551">
        <f t="shared" si="2"/>
        <v>0</v>
      </c>
      <c r="F33" s="1804">
        <f t="shared" si="3"/>
        <v>0</v>
      </c>
      <c r="G33" s="1805">
        <f t="shared" si="4"/>
        <v>0</v>
      </c>
    </row>
    <row r="34" spans="1:7" x14ac:dyDescent="0.25">
      <c r="A34" s="1664"/>
      <c r="B34" s="1858"/>
      <c r="C34" s="1665"/>
      <c r="D34" s="1856"/>
      <c r="E34" s="1551">
        <f t="shared" si="2"/>
        <v>0</v>
      </c>
      <c r="F34" s="1804">
        <f t="shared" si="3"/>
        <v>0</v>
      </c>
      <c r="G34" s="1805">
        <f t="shared" si="4"/>
        <v>0</v>
      </c>
    </row>
    <row r="35" spans="1:7" x14ac:dyDescent="0.25">
      <c r="A35" s="1664"/>
      <c r="B35" s="1858"/>
      <c r="C35" s="1665"/>
      <c r="D35" s="1856"/>
      <c r="E35" s="1551">
        <f t="shared" si="2"/>
        <v>0</v>
      </c>
      <c r="F35" s="1804">
        <f t="shared" si="3"/>
        <v>0</v>
      </c>
      <c r="G35" s="1805">
        <f t="shared" si="4"/>
        <v>0</v>
      </c>
    </row>
    <row r="36" spans="1:7" x14ac:dyDescent="0.25">
      <c r="A36" s="1664"/>
      <c r="B36" s="1858"/>
      <c r="C36" s="1665"/>
      <c r="D36" s="1856"/>
      <c r="E36" s="1551">
        <f t="shared" si="2"/>
        <v>0</v>
      </c>
      <c r="F36" s="1804">
        <f t="shared" si="3"/>
        <v>0</v>
      </c>
      <c r="G36" s="1805">
        <f t="shared" si="4"/>
        <v>0</v>
      </c>
    </row>
    <row r="37" spans="1:7" x14ac:dyDescent="0.25">
      <c r="A37" s="1664"/>
      <c r="B37" s="1858"/>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945"/>
      <c r="B41" s="1946"/>
      <c r="C41" s="1947"/>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0</v>
      </c>
      <c r="E141" s="1552">
        <f t="shared" si="1"/>
        <v>0</v>
      </c>
      <c r="F141" s="1806">
        <f>SUM(F17:F140)</f>
        <v>0</v>
      </c>
      <c r="G141" s="1807">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Layout" topLeftCell="A20" colorId="8" zoomScaleNormal="110" workbookViewId="0">
      <selection activeCell="H12" sqref="H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290" t="s">
        <v>1778</v>
      </c>
      <c r="B5" s="2291"/>
      <c r="C5" s="2291"/>
      <c r="D5" s="2291"/>
      <c r="E5" s="2291"/>
      <c r="F5" s="2291"/>
      <c r="G5" s="2292"/>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2076</v>
      </c>
      <c r="B10" s="961"/>
      <c r="C10" s="966"/>
      <c r="D10" s="962"/>
      <c r="E10" s="963">
        <f>MIN('Revenues 9-14'!C201,('Expenditures 15-22'!E63+'Expenditures 15-22'!F63))</f>
        <v>0</v>
      </c>
      <c r="F10" s="964"/>
      <c r="G10" s="965"/>
      <c r="H10" s="162"/>
      <c r="I10" s="162"/>
    </row>
    <row r="11" spans="1:9" s="659" customFormat="1" ht="22.5" customHeight="1" x14ac:dyDescent="0.2">
      <c r="A11" s="2295" t="s">
        <v>1945</v>
      </c>
      <c r="B11" s="2296"/>
      <c r="C11" s="2296"/>
      <c r="D11" s="2297"/>
      <c r="E11" s="967"/>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11"/>
      <c r="E19" s="1812">
        <f>'Expenditures 15-22'!K33-SUM('Expenditures 15-22'!G33,'Expenditures 15-22'!I33)+'Expenditures 15-22'!D229</f>
        <v>0</v>
      </c>
      <c r="F19" s="1811"/>
      <c r="G19" s="1813">
        <f>'Expenditures 15-22'!K33-SUM('Expenditures 15-22'!G33,'Expenditures 15-22'!I33)+'Expenditures 15-22'!D229</f>
        <v>0</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421</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34853</v>
      </c>
      <c r="F21" s="1814"/>
      <c r="G21" s="1817">
        <f>'Expenditures 15-22'!K42-SUM('Expenditures 15-22'!G42,'Expenditures 15-22'!I42)+'Expenditures 15-22'!K120-SUM('Expenditures 15-22'!G120,'Expenditures 15-22'!I120)+'Expenditures 15-22'!K180-SUM('Expenditures 15-22'!G180,'Expenditures 15-22'!I180)+'Expenditures 15-22'!D238</f>
        <v>34853</v>
      </c>
      <c r="H21" s="977"/>
      <c r="I21" s="162"/>
    </row>
    <row r="22" spans="1:9" s="659" customFormat="1" ht="12" customHeight="1" x14ac:dyDescent="0.2">
      <c r="A22" s="984" t="s">
        <v>585</v>
      </c>
      <c r="B22" s="985"/>
      <c r="C22" s="983">
        <v>2200</v>
      </c>
      <c r="D22" s="1814"/>
      <c r="E22" s="1816">
        <f>'Expenditures 15-22'!K47-SUM('Expenditures 15-22'!G47,'Expenditures 15-22'!I47)+'Expenditures 15-22'!D243</f>
        <v>188313</v>
      </c>
      <c r="F22" s="1814"/>
      <c r="G22" s="1817">
        <f>'Expenditures 15-22'!K47-SUM('Expenditures 15-22'!G47,'Expenditures 15-22'!I47)+'Expenditures 15-22'!D243</f>
        <v>188313</v>
      </c>
      <c r="H22" s="977"/>
      <c r="I22" s="162"/>
    </row>
    <row r="23" spans="1:9" s="659" customFormat="1" ht="12" customHeight="1" x14ac:dyDescent="0.2">
      <c r="A23" s="984" t="s">
        <v>586</v>
      </c>
      <c r="B23" s="985"/>
      <c r="C23" s="983">
        <v>2300</v>
      </c>
      <c r="D23" s="1814"/>
      <c r="E23" s="1816">
        <f>'Expenditures 15-22'!K53-SUM('Expenditures 15-22'!G53,'Expenditures 15-22'!I53)+'Expenditures 15-22'!D257+'Expenditures 15-22'!K330-SUM('Expenditures 15-22'!G330,'Expenditures 15-22'!I330)</f>
        <v>136120</v>
      </c>
      <c r="F23" s="1814"/>
      <c r="G23" s="1816">
        <f>'Expenditures 15-22'!K53-SUM('Expenditures 15-22'!G53,'Expenditures 15-22'!I53)+'Expenditures 15-22'!D257+'Expenditures 15-22'!K330-SUM('Expenditures 15-22'!G330,'Expenditures 15-22'!I330)</f>
        <v>136120</v>
      </c>
      <c r="H23" s="977"/>
      <c r="I23" s="162"/>
    </row>
    <row r="24" spans="1:9" s="659" customFormat="1" ht="12" customHeight="1" x14ac:dyDescent="0.2">
      <c r="A24" s="984" t="s">
        <v>587</v>
      </c>
      <c r="B24" s="985"/>
      <c r="C24" s="983">
        <v>2400</v>
      </c>
      <c r="D24" s="1814"/>
      <c r="E24" s="1816">
        <f>'Expenditures 15-22'!K57-SUM('Expenditures 15-22'!G57,'Expenditures 15-22'!I57)+'Expenditures 15-22'!D261</f>
        <v>0</v>
      </c>
      <c r="F24" s="1814"/>
      <c r="G24" s="1817">
        <f>'Expenditures 15-22'!K57-SUM('Expenditures 15-22'!G57,'Expenditures 15-22'!I57)+'Expenditures 15-22'!D261</f>
        <v>0</v>
      </c>
      <c r="H24" s="977"/>
      <c r="I24" s="162"/>
    </row>
    <row r="25" spans="1:9" s="659" customFormat="1" ht="12" customHeight="1" x14ac:dyDescent="0.2">
      <c r="A25" s="980" t="s">
        <v>588</v>
      </c>
      <c r="B25" s="986"/>
      <c r="C25" s="983"/>
      <c r="D25" s="1814"/>
      <c r="E25" s="1816"/>
      <c r="F25" s="1814"/>
      <c r="G25" s="1817"/>
      <c r="H25" s="977"/>
      <c r="I25" s="162"/>
    </row>
    <row r="26" spans="1:9" s="659" customFormat="1" ht="12" customHeight="1" x14ac:dyDescent="0.2">
      <c r="A26" s="984" t="s">
        <v>536</v>
      </c>
      <c r="B26" s="987"/>
      <c r="C26" s="983">
        <v>2510</v>
      </c>
      <c r="D26" s="1816">
        <f>'Expenditures 15-22'!K59-SUM('Expenditures 15-22'!G59,'Expenditures 15-22'!I59)+'Expenditures 15-22'!D263-E7</f>
        <v>0</v>
      </c>
      <c r="E26" s="1816">
        <f>'Expenditures 15-22'!K122-SUM('Expenditures 15-22'!G122,'Expenditures 15-22'!I122)+E7</f>
        <v>0</v>
      </c>
      <c r="F26" s="1816">
        <f>'Expenditures 15-22'!K59-SUM('Expenditures 15-22'!G59,'Expenditures 15-22'!I59)+'Expenditures 15-22'!D263-E7</f>
        <v>0</v>
      </c>
      <c r="G26" s="1817">
        <f>'Expenditures 15-22'!K122-SUM('Expenditures 15-22'!G122,'Expenditures 15-22'!I122)+E7</f>
        <v>0</v>
      </c>
      <c r="H26" s="977"/>
      <c r="I26" s="162"/>
    </row>
    <row r="27" spans="1:9" s="659" customFormat="1" ht="12" customHeight="1" x14ac:dyDescent="0.2">
      <c r="A27" s="984" t="s">
        <v>483</v>
      </c>
      <c r="B27" s="987"/>
      <c r="C27" s="983">
        <v>2520</v>
      </c>
      <c r="D27" s="1816">
        <f>'Expenditures 15-22'!K60-SUM('Expenditures 15-22'!G60,'Expenditures 15-22'!I60)+'Expenditures 15-22'!D264-E8</f>
        <v>0</v>
      </c>
      <c r="E27" s="1816">
        <f>E8</f>
        <v>0</v>
      </c>
      <c r="F27" s="1816">
        <f>'Expenditures 15-22'!K60-SUM('Expenditures 15-22'!G60,'Expenditures 15-22'!I60)+'Expenditures 15-22'!D264-E8</f>
        <v>0</v>
      </c>
      <c r="G27" s="1817">
        <f>E8</f>
        <v>0</v>
      </c>
      <c r="H27" s="977"/>
      <c r="I27" s="162"/>
    </row>
    <row r="28" spans="1:9" s="659" customFormat="1" ht="12" customHeight="1" x14ac:dyDescent="0.2">
      <c r="A28" s="984" t="s">
        <v>537</v>
      </c>
      <c r="B28" s="987"/>
      <c r="C28" s="983">
        <v>2540</v>
      </c>
      <c r="D28" s="1818"/>
      <c r="E28" s="1816">
        <f>'Expenditures 15-22'!K61-SUM('Expenditures 15-22'!G61,'Expenditures 15-22'!I61)+'Expenditures 15-22'!K124-SUM('Expenditures 15-22'!G124,'Expenditures 15-22'!I124)+'Expenditures 15-22'!D266</f>
        <v>0</v>
      </c>
      <c r="F28" s="1818">
        <f>'Expenditures 15-22'!K61-SUM('Expenditures 15-22'!G61,'Expenditures 15-22'!I61)+'Expenditures 15-22'!K124-SUM('Expenditures 15-22'!G124,'Expenditures 15-22'!I124)+'Expenditures 15-22'!D266-E9</f>
        <v>0</v>
      </c>
      <c r="G28" s="1817">
        <f>E9</f>
        <v>0</v>
      </c>
      <c r="H28" s="977"/>
      <c r="I28" s="162"/>
    </row>
    <row r="29" spans="1:9" ht="12" customHeight="1" x14ac:dyDescent="0.2">
      <c r="A29" s="984" t="s">
        <v>538</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0</v>
      </c>
      <c r="F29" s="1814"/>
      <c r="G29" s="1817">
        <f>'Expenditures 15-22'!K62-SUM('Expenditures 15-22'!G62,'Expenditures 15-22'!I62)+'Expenditures 15-22'!K125-SUM('Expenditures 15-22'!G125,'Expenditures 15-22'!I125)+'Expenditures 15-22'!K182-SUM('Expenditures 15-22'!G182,'Expenditures 15-22'!I182)+'Expenditures 15-22'!D267</f>
        <v>0</v>
      </c>
      <c r="H29" s="975"/>
    </row>
    <row r="30" spans="1:9" ht="12" customHeight="1" x14ac:dyDescent="0.2">
      <c r="A30" s="984" t="s">
        <v>102</v>
      </c>
      <c r="B30" s="987"/>
      <c r="C30" s="983">
        <v>2560</v>
      </c>
      <c r="D30" s="1814"/>
      <c r="E30" s="1816">
        <f>'Expenditures 15-22'!K63-SUM('Expenditures 15-22'!G63,'Expenditures 15-22'!I63)+'Expenditures 15-22'!D268-E10</f>
        <v>0</v>
      </c>
      <c r="F30" s="1814"/>
      <c r="G30" s="1816">
        <f>'Expenditures 15-22'!K63-SUM('Expenditures 15-22'!G63,'Expenditures 15-22'!I63)+'Expenditures 15-22'!D268-E10</f>
        <v>0</v>
      </c>
    </row>
    <row r="31" spans="1:9" ht="12" customHeight="1" x14ac:dyDescent="0.2">
      <c r="A31" s="984" t="s">
        <v>103</v>
      </c>
      <c r="B31" s="987"/>
      <c r="C31" s="983">
        <v>2570</v>
      </c>
      <c r="D31" s="1816">
        <f>'Expenditures 15-22'!K64-SUM('Expenditures 15-22'!G64,'Expenditures 15-22'!I64)+'Expenditures 15-22'!D269-E12</f>
        <v>0</v>
      </c>
      <c r="E31" s="1816">
        <f>E12</f>
        <v>0</v>
      </c>
      <c r="F31" s="1816">
        <f>'Expenditures 15-22'!K64-SUM('Expenditures 15-22'!G64,'Expenditures 15-22'!I64)+'Expenditures 15-22'!D269-E12</f>
        <v>0</v>
      </c>
      <c r="G31" s="1816">
        <f>E12</f>
        <v>0</v>
      </c>
    </row>
    <row r="32" spans="1:9" ht="12" customHeight="1" x14ac:dyDescent="0.2">
      <c r="A32" s="980" t="s">
        <v>539</v>
      </c>
      <c r="B32" s="986"/>
      <c r="C32" s="983"/>
      <c r="D32" s="1814"/>
      <c r="E32" s="1814"/>
      <c r="F32" s="1814"/>
      <c r="G32" s="1814"/>
    </row>
    <row r="33" spans="1:7" ht="12" customHeight="1" x14ac:dyDescent="0.2">
      <c r="A33" s="984" t="s">
        <v>540</v>
      </c>
      <c r="B33" s="987"/>
      <c r="C33" s="983">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84" t="s">
        <v>541</v>
      </c>
      <c r="B34" s="987"/>
      <c r="C34" s="983">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84" t="s">
        <v>1121</v>
      </c>
      <c r="B35" s="987"/>
      <c r="C35" s="983">
        <v>2630</v>
      </c>
      <c r="D35" s="1814"/>
      <c r="E35" s="1816">
        <f>'Expenditures 15-22'!K69-SUM('Expenditures 15-22'!G69,'Expenditures 15-22'!I69)+'Expenditures 15-22'!D274</f>
        <v>0</v>
      </c>
      <c r="F35" s="1814"/>
      <c r="G35" s="1816">
        <f>'Expenditures 15-22'!K69-SUM('Expenditures 15-22'!G69,'Expenditures 15-22'!I69)+'Expenditures 15-22'!D274</f>
        <v>0</v>
      </c>
    </row>
    <row r="36" spans="1:7" ht="12" customHeight="1" x14ac:dyDescent="0.2">
      <c r="A36" s="984" t="s">
        <v>423</v>
      </c>
      <c r="B36" s="987"/>
      <c r="C36" s="983">
        <v>2640</v>
      </c>
      <c r="D36" s="1816">
        <f>'Expenditures 15-22'!K70-SUM('Expenditures 15-22'!G70,'Expenditures 15-22'!I70)+'Expenditures 15-22'!D275-E13</f>
        <v>0</v>
      </c>
      <c r="E36" s="1816">
        <f>E13</f>
        <v>0</v>
      </c>
      <c r="F36" s="1816">
        <f>'Expenditures 15-22'!K70-SUM('Expenditures 15-22'!G70,'Expenditures 15-22'!I70)+'Expenditures 15-22'!D275-E13</f>
        <v>0</v>
      </c>
      <c r="G36" s="1816">
        <f>E13</f>
        <v>0</v>
      </c>
    </row>
    <row r="37" spans="1:7" ht="12" customHeight="1" x14ac:dyDescent="0.2">
      <c r="A37" s="984" t="s">
        <v>424</v>
      </c>
      <c r="B37" s="987"/>
      <c r="C37" s="983">
        <v>2660</v>
      </c>
      <c r="D37" s="1816">
        <f>'Expenditures 15-22'!K71-SUM('Expenditures 15-22'!G71,'Expenditures 15-22'!I71)+'Expenditures 15-22'!D276-E14</f>
        <v>0</v>
      </c>
      <c r="E37" s="1816">
        <f>E14</f>
        <v>0</v>
      </c>
      <c r="F37" s="1816">
        <f>'Expenditures 15-22'!K71-SUM('Expenditures 15-22'!G71,'Expenditures 15-22'!I71)+'Expenditures 15-22'!D276-E14</f>
        <v>0</v>
      </c>
      <c r="G37" s="1816">
        <f>E14</f>
        <v>0</v>
      </c>
    </row>
    <row r="38" spans="1:7" ht="12" customHeight="1" x14ac:dyDescent="0.2">
      <c r="A38" s="980" t="s">
        <v>542</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0</v>
      </c>
      <c r="F38" s="1814"/>
      <c r="G38" s="181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0</v>
      </c>
      <c r="F39" s="1814"/>
      <c r="G39" s="181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0" t="s">
        <v>1930</v>
      </c>
      <c r="B40" s="981"/>
      <c r="C40" s="983"/>
      <c r="D40" s="1814"/>
      <c r="E40" s="1818">
        <f>-'Contracts Paid in CY 29'!G141</f>
        <v>0</v>
      </c>
      <c r="F40" s="1814"/>
      <c r="G40" s="1818">
        <f>-'Contracts Paid in CY 29'!G141</f>
        <v>0</v>
      </c>
    </row>
    <row r="41" spans="1:7" ht="12" customHeight="1" x14ac:dyDescent="0.2">
      <c r="A41" s="988" t="s">
        <v>158</v>
      </c>
      <c r="B41" s="989"/>
      <c r="C41" s="990"/>
      <c r="D41" s="1818">
        <f>SUM(D19:D39)</f>
        <v>0</v>
      </c>
      <c r="E41" s="1818">
        <f>SUM(E19:E40)</f>
        <v>359286</v>
      </c>
      <c r="F41" s="1818">
        <f>SUM(F19:F39)</f>
        <v>0</v>
      </c>
      <c r="G41" s="1818">
        <f>SUM(G19:G40)</f>
        <v>359286</v>
      </c>
    </row>
    <row r="42" spans="1:7" x14ac:dyDescent="0.2">
      <c r="A42" s="977"/>
      <c r="B42" s="162"/>
      <c r="C42" s="991"/>
      <c r="D42" s="2293" t="s">
        <v>543</v>
      </c>
      <c r="E42" s="2294"/>
      <c r="F42" s="992" t="s">
        <v>544</v>
      </c>
      <c r="G42" s="993"/>
    </row>
    <row r="43" spans="1:7" ht="12" customHeight="1" x14ac:dyDescent="0.2">
      <c r="A43" s="977"/>
      <c r="B43" s="162"/>
      <c r="C43" s="991"/>
      <c r="D43" s="1819" t="s">
        <v>493</v>
      </c>
      <c r="E43" s="1820">
        <f>D41</f>
        <v>0</v>
      </c>
      <c r="F43" s="1819" t="s">
        <v>495</v>
      </c>
      <c r="G43" s="1820">
        <f>F41</f>
        <v>0</v>
      </c>
    </row>
    <row r="44" spans="1:7" ht="12" customHeight="1" x14ac:dyDescent="0.2">
      <c r="A44" s="977"/>
      <c r="B44" s="162"/>
      <c r="C44" s="991"/>
      <c r="D44" s="1819" t="s">
        <v>494</v>
      </c>
      <c r="E44" s="1820">
        <f>E41</f>
        <v>359286</v>
      </c>
      <c r="F44" s="1819" t="s">
        <v>494</v>
      </c>
      <c r="G44" s="1820">
        <f>G41</f>
        <v>359286</v>
      </c>
    </row>
    <row r="45" spans="1:7" ht="12" customHeight="1" x14ac:dyDescent="0.2">
      <c r="A45" s="977"/>
      <c r="B45" s="162"/>
      <c r="C45" s="162"/>
      <c r="D45" s="1821" t="s">
        <v>1063</v>
      </c>
      <c r="E45" s="1822">
        <f>(E43/E44)</f>
        <v>0</v>
      </c>
      <c r="F45" s="1821" t="s">
        <v>1063</v>
      </c>
      <c r="G45" s="1822">
        <f>(G43/G44)</f>
        <v>0</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H12" sqref="H12"/>
      <selection pane="bottomLeft" activeCell="A5" sqref="A5:F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312" t="s">
        <v>1446</v>
      </c>
      <c r="B1" s="2312"/>
      <c r="C1" s="2312"/>
      <c r="D1" s="2312"/>
      <c r="E1" s="2312"/>
      <c r="F1" s="2312"/>
    </row>
    <row r="2" spans="1:10" x14ac:dyDescent="0.2">
      <c r="A2" s="1901" t="s">
        <v>2048</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313" t="s">
        <v>1627</v>
      </c>
      <c r="B5" s="2314"/>
      <c r="C5" s="2315"/>
      <c r="D5" s="2315"/>
      <c r="E5" s="2315"/>
      <c r="F5" s="2315"/>
    </row>
    <row r="6" spans="1:10" ht="12" customHeight="1" x14ac:dyDescent="0.25">
      <c r="A6" s="1864"/>
      <c r="B6" s="1865"/>
      <c r="C6" s="2316" t="str">
        <f>COVER!A17</f>
        <v>Valley Ed for Employment System</v>
      </c>
      <c r="D6" s="2316"/>
      <c r="E6" s="2316"/>
      <c r="F6" s="1866"/>
    </row>
    <row r="7" spans="1:10" ht="11.25" customHeight="1" thickBot="1" x14ac:dyDescent="0.3">
      <c r="A7" s="1864"/>
      <c r="B7" s="1865"/>
      <c r="C7" s="2317">
        <f>COVER!A13</f>
        <v>31000000046</v>
      </c>
      <c r="D7" s="2317"/>
      <c r="E7" s="2317"/>
      <c r="F7" s="1866"/>
    </row>
    <row r="8" spans="1:10" ht="25.5" customHeight="1" thickBot="1" x14ac:dyDescent="0.25">
      <c r="A8" s="1907" t="s">
        <v>2025</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c r="D11" s="1879"/>
      <c r="E11" s="1880"/>
      <c r="F11" s="1881"/>
      <c r="H11" s="1892">
        <f>IF(C11="X",5,0)</f>
        <v>0</v>
      </c>
      <c r="I11" s="1892">
        <f>IF(D11="X",5,0)</f>
        <v>0</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c r="D13" s="1879"/>
      <c r="E13" s="1882"/>
      <c r="F13" s="1881"/>
      <c r="H13" s="1892">
        <f t="shared" si="0"/>
        <v>0</v>
      </c>
      <c r="I13" s="1892">
        <f t="shared" si="1"/>
        <v>0</v>
      </c>
      <c r="J13" s="1892">
        <f t="shared" si="2"/>
        <v>0</v>
      </c>
    </row>
    <row r="14" spans="1:10" ht="12" customHeight="1" x14ac:dyDescent="0.2">
      <c r="A14" s="1877" t="s">
        <v>1453</v>
      </c>
      <c r="B14" s="1878"/>
      <c r="C14" s="1879" t="s">
        <v>2084</v>
      </c>
      <c r="D14" s="1879" t="s">
        <v>2084</v>
      </c>
      <c r="E14" s="1882"/>
      <c r="F14" s="1881" t="s">
        <v>2091</v>
      </c>
      <c r="H14" s="1892">
        <f t="shared" si="0"/>
        <v>5</v>
      </c>
      <c r="I14" s="1892">
        <f t="shared" si="1"/>
        <v>5</v>
      </c>
      <c r="J14" s="1892">
        <f t="shared" si="2"/>
        <v>0</v>
      </c>
    </row>
    <row r="15" spans="1:10" ht="12" customHeight="1" x14ac:dyDescent="0.2">
      <c r="A15" s="1877" t="s">
        <v>1454</v>
      </c>
      <c r="B15" s="1878"/>
      <c r="C15" s="1879"/>
      <c r="D15" s="1879"/>
      <c r="E15" s="1882"/>
      <c r="F15" s="1881"/>
      <c r="H15" s="1892">
        <f t="shared" si="0"/>
        <v>0</v>
      </c>
      <c r="I15" s="1892">
        <f t="shared" si="1"/>
        <v>0</v>
      </c>
      <c r="J15" s="1892">
        <f t="shared" si="2"/>
        <v>0</v>
      </c>
    </row>
    <row r="16" spans="1:10" ht="12" customHeight="1" x14ac:dyDescent="0.2">
      <c r="A16" s="1877" t="s">
        <v>1455</v>
      </c>
      <c r="B16" s="1878"/>
      <c r="C16" s="1879"/>
      <c r="D16" s="1879"/>
      <c r="E16" s="1882"/>
      <c r="F16" s="1881"/>
      <c r="H16" s="1892">
        <f t="shared" si="0"/>
        <v>0</v>
      </c>
      <c r="I16" s="1892">
        <f t="shared" si="1"/>
        <v>0</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t="s">
        <v>2084</v>
      </c>
      <c r="D19" s="1879" t="s">
        <v>2084</v>
      </c>
      <c r="E19" s="1882"/>
      <c r="F19" s="1881" t="s">
        <v>2092</v>
      </c>
      <c r="H19" s="1892">
        <f t="shared" si="0"/>
        <v>5</v>
      </c>
      <c r="I19" s="1892">
        <f t="shared" si="1"/>
        <v>5</v>
      </c>
      <c r="J19" s="1892">
        <f t="shared" si="2"/>
        <v>0</v>
      </c>
    </row>
    <row r="20" spans="1:12" ht="12" customHeight="1" x14ac:dyDescent="0.2">
      <c r="A20" s="1877" t="s">
        <v>1609</v>
      </c>
      <c r="B20" s="1878"/>
      <c r="C20" s="1879"/>
      <c r="D20" s="1879"/>
      <c r="E20" s="1882"/>
      <c r="F20" s="1881"/>
      <c r="H20" s="1892">
        <f t="shared" si="0"/>
        <v>0</v>
      </c>
      <c r="I20" s="1892">
        <f t="shared" si="1"/>
        <v>0</v>
      </c>
      <c r="J20" s="1892">
        <f t="shared" si="2"/>
        <v>0</v>
      </c>
    </row>
    <row r="21" spans="1:12" ht="12" customHeight="1" x14ac:dyDescent="0.2">
      <c r="A21" s="1877" t="s">
        <v>1610</v>
      </c>
      <c r="B21" s="1878"/>
      <c r="C21" s="1879"/>
      <c r="D21" s="1879"/>
      <c r="E21" s="1882"/>
      <c r="F21" s="1881"/>
      <c r="H21" s="1892">
        <f t="shared" si="0"/>
        <v>0</v>
      </c>
      <c r="I21" s="1892">
        <f t="shared" si="1"/>
        <v>0</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c r="D24" s="1879"/>
      <c r="E24" s="1882"/>
      <c r="F24" s="1881"/>
      <c r="H24" s="1892">
        <f t="shared" si="0"/>
        <v>0</v>
      </c>
      <c r="I24" s="1892">
        <f t="shared" si="1"/>
        <v>0</v>
      </c>
      <c r="J24" s="1892">
        <f t="shared" si="2"/>
        <v>0</v>
      </c>
    </row>
    <row r="25" spans="1:12" ht="12" customHeight="1" x14ac:dyDescent="0.2">
      <c r="A25" s="1877" t="s">
        <v>1614</v>
      </c>
      <c r="B25" s="1878"/>
      <c r="C25" s="1879" t="s">
        <v>2084</v>
      </c>
      <c r="D25" s="1879" t="s">
        <v>2084</v>
      </c>
      <c r="E25" s="1882"/>
      <c r="F25" s="1881" t="s">
        <v>2091</v>
      </c>
      <c r="H25" s="1892">
        <f t="shared" si="0"/>
        <v>5</v>
      </c>
      <c r="I25" s="1892">
        <f t="shared" si="1"/>
        <v>5</v>
      </c>
      <c r="J25" s="1892">
        <f t="shared" si="2"/>
        <v>0</v>
      </c>
    </row>
    <row r="26" spans="1:12" ht="12" customHeight="1" x14ac:dyDescent="0.2">
      <c r="A26" s="1877" t="s">
        <v>1615</v>
      </c>
      <c r="B26" s="1878"/>
      <c r="C26" s="1879"/>
      <c r="D26" s="1879"/>
      <c r="E26" s="1882"/>
      <c r="F26" s="1881"/>
      <c r="H26" s="1892">
        <f t="shared" si="0"/>
        <v>0</v>
      </c>
      <c r="I26" s="1892">
        <f t="shared" si="1"/>
        <v>0</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c r="D28" s="1879"/>
      <c r="E28" s="1882"/>
      <c r="F28" s="1881"/>
      <c r="H28" s="1892">
        <f t="shared" si="0"/>
        <v>0</v>
      </c>
      <c r="I28" s="1892">
        <f t="shared" si="1"/>
        <v>0</v>
      </c>
      <c r="J28" s="1892">
        <f t="shared" si="2"/>
        <v>0</v>
      </c>
    </row>
    <row r="29" spans="1:12" ht="12" customHeight="1" x14ac:dyDescent="0.2">
      <c r="A29" s="1877" t="s">
        <v>1618</v>
      </c>
      <c r="B29" s="1878"/>
      <c r="C29" s="1879"/>
      <c r="D29" s="1879"/>
      <c r="E29" s="1882"/>
      <c r="F29" s="1881"/>
      <c r="H29" s="1892">
        <f t="shared" si="0"/>
        <v>0</v>
      </c>
      <c r="I29" s="1892">
        <f t="shared" si="1"/>
        <v>0</v>
      </c>
      <c r="J29" s="1892">
        <f t="shared" si="2"/>
        <v>0</v>
      </c>
    </row>
    <row r="30" spans="1:12" ht="12" customHeight="1" x14ac:dyDescent="0.2">
      <c r="A30" s="1877" t="s">
        <v>1619</v>
      </c>
      <c r="B30" s="1878"/>
      <c r="C30" s="1879"/>
      <c r="D30" s="1879"/>
      <c r="E30" s="1882"/>
      <c r="F30" s="1881"/>
      <c r="H30" s="1892">
        <f t="shared" si="0"/>
        <v>0</v>
      </c>
      <c r="I30" s="1892">
        <f t="shared" si="1"/>
        <v>0</v>
      </c>
      <c r="J30" s="1892">
        <f t="shared" si="2"/>
        <v>0</v>
      </c>
    </row>
    <row r="31" spans="1:12" ht="12" customHeight="1" x14ac:dyDescent="0.2">
      <c r="A31" s="1877" t="s">
        <v>1620</v>
      </c>
      <c r="B31" s="1878"/>
      <c r="C31" s="1879"/>
      <c r="D31" s="1879"/>
      <c r="E31" s="1882"/>
      <c r="F31" s="1881"/>
      <c r="H31" s="1892">
        <f t="shared" si="0"/>
        <v>0</v>
      </c>
      <c r="I31" s="1892">
        <f t="shared" si="1"/>
        <v>0</v>
      </c>
      <c r="J31" s="1892">
        <f t="shared" si="2"/>
        <v>0</v>
      </c>
      <c r="L31" s="1883"/>
    </row>
    <row r="32" spans="1:12" ht="12" customHeight="1" x14ac:dyDescent="0.2">
      <c r="A32" s="1877" t="s">
        <v>1621</v>
      </c>
      <c r="B32" s="1878"/>
      <c r="C32" s="1879" t="s">
        <v>2084</v>
      </c>
      <c r="D32" s="1879" t="s">
        <v>2084</v>
      </c>
      <c r="E32" s="1882"/>
      <c r="F32" s="1881" t="s">
        <v>2091</v>
      </c>
      <c r="H32" s="1892">
        <f t="shared" si="0"/>
        <v>5</v>
      </c>
      <c r="I32" s="1892">
        <f t="shared" si="1"/>
        <v>5</v>
      </c>
      <c r="J32" s="1892">
        <f t="shared" si="2"/>
        <v>0</v>
      </c>
    </row>
    <row r="33" spans="1:11" ht="12" customHeight="1" x14ac:dyDescent="0.2">
      <c r="A33" s="1877" t="s">
        <v>1622</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20</v>
      </c>
      <c r="I34" s="1892">
        <f>SUM(I11:I32)</f>
        <v>20</v>
      </c>
      <c r="J34" s="1892">
        <f>SUM(J11:J32)</f>
        <v>0</v>
      </c>
      <c r="K34" s="1892">
        <f>SUM(H34:J34)</f>
        <v>40</v>
      </c>
    </row>
    <row r="35" spans="1:11" ht="12" customHeight="1" x14ac:dyDescent="0.2">
      <c r="A35" s="1885" t="s">
        <v>1459</v>
      </c>
      <c r="B35" s="1886"/>
      <c r="C35" s="2318"/>
      <c r="D35" s="2318"/>
      <c r="E35" s="2318"/>
      <c r="F35" s="2319"/>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04"/>
      <c r="B38" s="2305"/>
      <c r="C38" s="2305"/>
      <c r="D38" s="2305"/>
      <c r="E38" s="2305"/>
      <c r="F38" s="2306"/>
    </row>
    <row r="39" spans="1:11" ht="4.5" hidden="1" customHeight="1" x14ac:dyDescent="0.2">
      <c r="A39" s="1887"/>
      <c r="B39" s="1887"/>
      <c r="C39" s="1887"/>
      <c r="D39" s="1887"/>
      <c r="E39" s="1887"/>
      <c r="F39" s="1887"/>
    </row>
    <row r="40" spans="1:11" s="1884" customFormat="1" ht="12" customHeight="1" x14ac:dyDescent="0.25">
      <c r="A40" s="1888" t="s">
        <v>1458</v>
      </c>
      <c r="B40" s="1889"/>
      <c r="C40" s="2307"/>
      <c r="D40" s="2307"/>
      <c r="E40" s="2307"/>
      <c r="F40" s="2308"/>
      <c r="H40" s="1893"/>
      <c r="I40" s="1893"/>
      <c r="J40" s="1893"/>
      <c r="K40" s="1893"/>
    </row>
    <row r="41" spans="1:11" s="1884" customFormat="1" ht="12" customHeight="1" x14ac:dyDescent="0.25">
      <c r="A41" s="2309"/>
      <c r="B41" s="2310"/>
      <c r="C41" s="2310"/>
      <c r="D41" s="2310"/>
      <c r="E41" s="2310"/>
      <c r="F41" s="2311"/>
      <c r="H41" s="1893"/>
      <c r="I41" s="1893"/>
      <c r="J41" s="1893"/>
      <c r="K41" s="1893"/>
    </row>
    <row r="42" spans="1:11" s="1884" customFormat="1" ht="12" customHeight="1" x14ac:dyDescent="0.25">
      <c r="A42" s="2309"/>
      <c r="B42" s="2310"/>
      <c r="C42" s="2310"/>
      <c r="D42" s="2310"/>
      <c r="E42" s="2310"/>
      <c r="F42" s="2311"/>
      <c r="H42" s="1893"/>
      <c r="I42" s="1893"/>
      <c r="J42" s="1893"/>
      <c r="K42" s="1893"/>
    </row>
    <row r="43" spans="1:11" s="1884" customFormat="1" ht="15" x14ac:dyDescent="0.25">
      <c r="A43" s="2298"/>
      <c r="B43" s="2299"/>
      <c r="C43" s="2299"/>
      <c r="D43" s="2299"/>
      <c r="E43" s="2299"/>
      <c r="F43" s="2300"/>
      <c r="H43" s="1893"/>
      <c r="I43" s="1893"/>
      <c r="J43" s="1893"/>
      <c r="K43" s="1893"/>
    </row>
    <row r="44" spans="1:11" s="1884" customFormat="1" ht="12" hidden="1" customHeight="1" x14ac:dyDescent="0.25">
      <c r="A44" s="2298"/>
      <c r="B44" s="2299"/>
      <c r="C44" s="2299"/>
      <c r="D44" s="2299"/>
      <c r="E44" s="2299"/>
      <c r="F44" s="2300"/>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8" t="s">
        <v>693</v>
      </c>
      <c r="B6" s="1653"/>
      <c r="C6" s="1653"/>
      <c r="D6" s="1653"/>
      <c r="E6" s="1654"/>
      <c r="F6" s="1005"/>
      <c r="G6" s="999"/>
      <c r="H6" s="1006" t="s">
        <v>1086</v>
      </c>
      <c r="I6" s="2325" t="str">
        <f>COVER!A17</f>
        <v>Valley Ed for Employment System</v>
      </c>
      <c r="J6" s="2326"/>
      <c r="Q6" s="1675"/>
    </row>
    <row r="7" spans="1:17" x14ac:dyDescent="0.2">
      <c r="A7" s="2327" t="s">
        <v>924</v>
      </c>
      <c r="B7" s="2328"/>
      <c r="C7" s="2328"/>
      <c r="D7" s="2328"/>
      <c r="E7" s="2329"/>
      <c r="F7" s="1007"/>
      <c r="G7" s="999"/>
      <c r="H7" s="1006" t="s">
        <v>390</v>
      </c>
      <c r="I7" s="2330">
        <f>COVER!A13</f>
        <v>31000000046</v>
      </c>
      <c r="J7" s="2330"/>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9" t="s">
        <v>1701</v>
      </c>
      <c r="F9" s="1013"/>
      <c r="G9" s="1013"/>
      <c r="H9" s="1910"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31" t="s">
        <v>502</v>
      </c>
      <c r="B11" s="2332"/>
      <c r="C11" s="2333"/>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3">
        <f>'Expenditures 15-22'!K50</f>
        <v>0</v>
      </c>
      <c r="F12" s="1029"/>
      <c r="G12" s="1823">
        <f t="shared" ref="G12:G18" si="0">SUM(E12:F12)</f>
        <v>0</v>
      </c>
      <c r="H12" s="1030"/>
      <c r="I12" s="1029"/>
      <c r="J12" s="1823">
        <f t="shared" ref="J12:J18" si="1">SUM(H12:I12)</f>
        <v>0</v>
      </c>
    </row>
    <row r="13" spans="1:17" ht="15" customHeight="1" x14ac:dyDescent="0.2">
      <c r="A13" s="1025">
        <v>2</v>
      </c>
      <c r="B13" s="1026" t="s">
        <v>44</v>
      </c>
      <c r="C13" s="1027"/>
      <c r="D13" s="1028">
        <v>2330</v>
      </c>
      <c r="E13" s="1823">
        <f>'Expenditures 15-22'!K51</f>
        <v>136120</v>
      </c>
      <c r="F13" s="1029"/>
      <c r="G13" s="1823">
        <f t="shared" si="0"/>
        <v>136120</v>
      </c>
      <c r="H13" s="1030"/>
      <c r="I13" s="1029"/>
      <c r="J13" s="1823">
        <f t="shared" si="1"/>
        <v>0</v>
      </c>
    </row>
    <row r="14" spans="1:17" ht="15" customHeight="1" x14ac:dyDescent="0.2">
      <c r="A14" s="1025">
        <v>3</v>
      </c>
      <c r="B14" s="1026" t="s">
        <v>45</v>
      </c>
      <c r="C14" s="1027"/>
      <c r="D14" s="1031">
        <v>2490</v>
      </c>
      <c r="E14" s="1823">
        <f>'Expenditures 15-22'!K56</f>
        <v>0</v>
      </c>
      <c r="F14" s="1029"/>
      <c r="G14" s="1823">
        <f t="shared" si="0"/>
        <v>0</v>
      </c>
      <c r="H14" s="1030"/>
      <c r="I14" s="1029"/>
      <c r="J14" s="1823">
        <f t="shared" si="1"/>
        <v>0</v>
      </c>
    </row>
    <row r="15" spans="1:17" ht="15" customHeight="1" x14ac:dyDescent="0.2">
      <c r="A15" s="1025">
        <v>4</v>
      </c>
      <c r="B15" s="1026" t="s">
        <v>1128</v>
      </c>
      <c r="C15" s="1027"/>
      <c r="D15" s="1028">
        <v>2510</v>
      </c>
      <c r="E15" s="1823">
        <f>'Expenditures 15-22'!K59</f>
        <v>0</v>
      </c>
      <c r="F15" s="1823">
        <f>'Expenditures 15-22'!K122</f>
        <v>0</v>
      </c>
      <c r="G15" s="1823">
        <f t="shared" si="0"/>
        <v>0</v>
      </c>
      <c r="H15" s="1030"/>
      <c r="I15" s="1030"/>
      <c r="J15" s="1823">
        <f t="shared" si="1"/>
        <v>0</v>
      </c>
    </row>
    <row r="16" spans="1:17" ht="15" customHeight="1" x14ac:dyDescent="0.2">
      <c r="A16" s="1025">
        <v>5</v>
      </c>
      <c r="B16" s="1026" t="s">
        <v>103</v>
      </c>
      <c r="C16" s="1027"/>
      <c r="D16" s="1028">
        <v>2570</v>
      </c>
      <c r="E16" s="1823">
        <f>'Expenditures 15-22'!K64</f>
        <v>0</v>
      </c>
      <c r="F16" s="1029"/>
      <c r="G16" s="1823">
        <f t="shared" si="0"/>
        <v>0</v>
      </c>
      <c r="H16" s="1030"/>
      <c r="I16" s="1029"/>
      <c r="J16" s="1823">
        <f t="shared" si="1"/>
        <v>0</v>
      </c>
    </row>
    <row r="17" spans="1:10" ht="15" customHeight="1" x14ac:dyDescent="0.2">
      <c r="A17" s="1025">
        <v>6</v>
      </c>
      <c r="B17" s="1026" t="s">
        <v>1120</v>
      </c>
      <c r="C17" s="1027"/>
      <c r="D17" s="1028">
        <v>2610</v>
      </c>
      <c r="E17" s="1823">
        <f>'Expenditures 15-22'!K67</f>
        <v>0</v>
      </c>
      <c r="F17" s="1029"/>
      <c r="G17" s="1823">
        <f t="shared" si="0"/>
        <v>0</v>
      </c>
      <c r="H17" s="1030"/>
      <c r="I17" s="1029"/>
      <c r="J17" s="1823">
        <f t="shared" si="1"/>
        <v>0</v>
      </c>
    </row>
    <row r="18" spans="1:10" ht="22.5" customHeight="1" x14ac:dyDescent="0.2">
      <c r="A18" s="1032">
        <v>7</v>
      </c>
      <c r="B18" s="2334" t="s">
        <v>7</v>
      </c>
      <c r="C18" s="2335"/>
      <c r="D18" s="2336"/>
      <c r="E18" s="1033"/>
      <c r="F18" s="1033"/>
      <c r="G18" s="1824">
        <f t="shared" si="0"/>
        <v>0</v>
      </c>
      <c r="H18" s="1030"/>
      <c r="I18" s="1030"/>
      <c r="J18" s="1823">
        <f t="shared" si="1"/>
        <v>0</v>
      </c>
    </row>
    <row r="19" spans="1:10" ht="12.75" customHeight="1" thickBot="1" x14ac:dyDescent="0.25">
      <c r="A19" s="1025">
        <v>8</v>
      </c>
      <c r="B19" s="1034" t="s">
        <v>1223</v>
      </c>
      <c r="D19" s="1035"/>
      <c r="E19" s="1825">
        <f t="shared" ref="E19:J19" si="2">SUM(E12:E17)-E18</f>
        <v>136120</v>
      </c>
      <c r="F19" s="1825">
        <f t="shared" si="2"/>
        <v>0</v>
      </c>
      <c r="G19" s="1825">
        <f t="shared" si="2"/>
        <v>136120</v>
      </c>
      <c r="H19" s="1825">
        <f t="shared" si="2"/>
        <v>0</v>
      </c>
      <c r="I19" s="1825">
        <f t="shared" si="2"/>
        <v>0</v>
      </c>
      <c r="J19" s="1825">
        <f t="shared" si="2"/>
        <v>0</v>
      </c>
    </row>
    <row r="20" spans="1:10" ht="13.5" thickTop="1" x14ac:dyDescent="0.2">
      <c r="A20" s="1025">
        <v>9</v>
      </c>
      <c r="B20" s="2337" t="s">
        <v>1703</v>
      </c>
      <c r="C20" s="2337"/>
      <c r="D20" s="2338"/>
      <c r="E20" s="1036"/>
      <c r="F20" s="1036"/>
      <c r="G20" s="1036"/>
      <c r="H20" s="1036"/>
      <c r="I20" s="1036"/>
      <c r="J20" s="1826" t="str">
        <f>IF(AND(G19&gt;0,J19&gt;0),(((J19-G19)/G19)),"Enter Budget Data")</f>
        <v>Enter Budget Data</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43"/>
      <c r="D26" s="2343"/>
      <c r="E26" s="1040"/>
      <c r="F26" s="2342"/>
      <c r="G26" s="2342"/>
    </row>
    <row r="27" spans="1:10" x14ac:dyDescent="0.2">
      <c r="B27" s="1037"/>
      <c r="C27" s="1041" t="s">
        <v>1093</v>
      </c>
      <c r="D27" s="1042"/>
      <c r="E27" s="1043"/>
      <c r="F27" s="2339" t="s">
        <v>1589</v>
      </c>
      <c r="G27" s="2339"/>
    </row>
    <row r="28" spans="1:10" ht="28.5" customHeight="1" x14ac:dyDescent="0.2">
      <c r="B28" s="1037"/>
      <c r="C28" s="2341"/>
      <c r="D28" s="2341"/>
      <c r="E28" s="1044"/>
      <c r="F28" s="2341"/>
      <c r="G28" s="2341"/>
    </row>
    <row r="29" spans="1:10" x14ac:dyDescent="0.2">
      <c r="B29" s="1037"/>
      <c r="C29" s="1045" t="s">
        <v>1642</v>
      </c>
      <c r="E29" s="1046"/>
      <c r="F29" s="2340" t="s">
        <v>1590</v>
      </c>
      <c r="G29" s="2340"/>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322" t="s">
        <v>134</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52"/>
    </row>
    <row r="36" spans="1:10" ht="13.5" customHeight="1" x14ac:dyDescent="0.2">
      <c r="B36" s="1051"/>
      <c r="C36" s="2324" t="s">
        <v>1944</v>
      </c>
      <c r="D36" s="2323"/>
      <c r="E36" s="2323"/>
      <c r="F36" s="2323"/>
      <c r="G36" s="2323"/>
      <c r="H36" s="2323"/>
      <c r="I36" s="2323"/>
      <c r="J36" s="1053"/>
    </row>
    <row r="37" spans="1:10" ht="22.5" customHeight="1" x14ac:dyDescent="0.2">
      <c r="C37" s="2323"/>
      <c r="D37" s="2323"/>
      <c r="E37" s="2323"/>
      <c r="F37" s="2323"/>
      <c r="G37" s="2323"/>
      <c r="H37" s="2323"/>
      <c r="I37" s="2323"/>
      <c r="J37" s="1053"/>
    </row>
    <row r="38" spans="1:10" ht="7.5" customHeight="1" x14ac:dyDescent="0.2">
      <c r="C38" s="1052"/>
      <c r="D38" s="1054"/>
      <c r="E38" s="1055"/>
      <c r="F38" s="1056"/>
      <c r="G38" s="1055"/>
    </row>
    <row r="39" spans="1:10" ht="13.5" customHeight="1" x14ac:dyDescent="0.2">
      <c r="B39" s="1051"/>
      <c r="C39" s="2320" t="s">
        <v>937</v>
      </c>
      <c r="D39" s="2321"/>
      <c r="E39" s="2321"/>
      <c r="F39" s="2321"/>
      <c r="G39" s="2321"/>
      <c r="H39" s="2321"/>
      <c r="I39" s="2321"/>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Valley Ed for Employment System</v>
      </c>
    </row>
    <row r="65" spans="2:2" x14ac:dyDescent="0.2">
      <c r="B65" s="1060">
        <f>COVER!A13</f>
        <v>31000000046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1573</v>
      </c>
    </row>
    <row r="15" spans="1:6" x14ac:dyDescent="0.2">
      <c r="A15" s="389" t="s">
        <v>912</v>
      </c>
    </row>
    <row r="16" spans="1:6" s="1061" customFormat="1" ht="45" customHeight="1" x14ac:dyDescent="0.2">
      <c r="A16" s="1063"/>
      <c r="B16" s="1063" t="s">
        <v>1783</v>
      </c>
    </row>
    <row r="17" spans="1:2" ht="6" customHeight="1" x14ac:dyDescent="0.2"/>
    <row r="18" spans="1:2" ht="24.75" customHeight="1" x14ac:dyDescent="0.2">
      <c r="A18" s="2344" t="s">
        <v>1784</v>
      </c>
      <c r="B18" s="234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0</xdr:col>
                <xdr:colOff>104775</xdr:colOff>
                <xdr:row>0</xdr:row>
                <xdr:rowOff>66675</xdr:rowOff>
              </from>
              <to>
                <xdr:col>1</xdr:col>
                <xdr:colOff>895350</xdr:colOff>
                <xdr:row>4</xdr:row>
                <xdr:rowOff>104775</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1066800</xdr:colOff>
                <xdr:row>0</xdr:row>
                <xdr:rowOff>66675</xdr:rowOff>
              </from>
              <to>
                <xdr:col>1</xdr:col>
                <xdr:colOff>1981200</xdr:colOff>
                <xdr:row>4</xdr:row>
                <xdr:rowOff>104775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2152650</xdr:colOff>
                <xdr:row>0</xdr:row>
                <xdr:rowOff>66675</xdr:rowOff>
              </from>
              <to>
                <xdr:col>1</xdr:col>
                <xdr:colOff>3067050</xdr:colOff>
                <xdr:row>4</xdr:row>
                <xdr:rowOff>104775</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1790</v>
      </c>
      <c r="B1" s="2346"/>
      <c r="C1" s="2346"/>
      <c r="D1" s="2346"/>
      <c r="E1" s="2346"/>
      <c r="F1" s="2347"/>
    </row>
    <row r="2" spans="1:8" ht="45" customHeight="1" x14ac:dyDescent="0.2">
      <c r="A2" s="2355" t="s">
        <v>1791</v>
      </c>
      <c r="B2" s="2356"/>
      <c r="C2" s="2356"/>
      <c r="D2" s="2356"/>
      <c r="E2" s="2356"/>
      <c r="F2" s="2357"/>
      <c r="G2" s="1064"/>
      <c r="H2" s="1064"/>
    </row>
    <row r="3" spans="1:8" ht="57" customHeight="1" x14ac:dyDescent="0.2">
      <c r="A3" s="2358" t="s">
        <v>1786</v>
      </c>
      <c r="B3" s="2359"/>
      <c r="C3" s="2359"/>
      <c r="D3" s="2359"/>
      <c r="E3" s="2359"/>
      <c r="F3" s="2360"/>
      <c r="G3" s="1064"/>
      <c r="H3" s="1064"/>
    </row>
    <row r="4" spans="1:8" ht="14.25" customHeight="1" x14ac:dyDescent="0.2">
      <c r="A4" s="2364" t="s">
        <v>2056</v>
      </c>
      <c r="B4" s="2365"/>
      <c r="C4" s="2365"/>
      <c r="D4" s="2365"/>
      <c r="E4" s="2365"/>
      <c r="F4" s="2366"/>
      <c r="G4" s="1064"/>
      <c r="H4" s="1064"/>
    </row>
    <row r="5" spans="1:8" ht="14.25" customHeight="1" x14ac:dyDescent="0.2">
      <c r="A5" s="2367" t="s">
        <v>2057</v>
      </c>
      <c r="B5" s="2368"/>
      <c r="C5" s="2368"/>
      <c r="D5" s="2368"/>
      <c r="E5" s="2368"/>
      <c r="F5" s="2369"/>
      <c r="G5" s="1064"/>
      <c r="H5" s="1064"/>
    </row>
    <row r="6" spans="1:8" s="1065" customFormat="1" ht="41.25" customHeight="1" x14ac:dyDescent="0.2">
      <c r="A6" s="2361" t="s">
        <v>1792</v>
      </c>
      <c r="B6" s="2362"/>
      <c r="C6" s="2362"/>
      <c r="D6" s="2362"/>
      <c r="E6" s="2362"/>
      <c r="F6" s="2363"/>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7">
        <f>'Acct Summary 7-8'!C8</f>
        <v>2882990</v>
      </c>
      <c r="C8" s="1827">
        <f>'Acct Summary 7-8'!D8</f>
        <v>0</v>
      </c>
      <c r="D8" s="1827">
        <f>'Acct Summary 7-8'!F8</f>
        <v>0</v>
      </c>
      <c r="E8" s="1827">
        <f>'Acct Summary 7-8'!I8</f>
        <v>0</v>
      </c>
      <c r="F8" s="1827">
        <f>SUM(B8:E8)</f>
        <v>2882990</v>
      </c>
    </row>
    <row r="9" spans="1:8" s="1069" customFormat="1" ht="14.25" customHeight="1" thickBot="1" x14ac:dyDescent="0.25">
      <c r="A9" s="1068" t="s">
        <v>1436</v>
      </c>
      <c r="B9" s="1828">
        <f>'Acct Summary 7-8'!C17</f>
        <v>2569469</v>
      </c>
      <c r="C9" s="1828">
        <f>'Acct Summary 7-8'!D17</f>
        <v>0</v>
      </c>
      <c r="D9" s="1828">
        <f>'Acct Summary 7-8'!F17</f>
        <v>0</v>
      </c>
      <c r="E9" s="1827"/>
      <c r="F9" s="1827">
        <f>SUM(B9:E9)</f>
        <v>2569469</v>
      </c>
    </row>
    <row r="10" spans="1:8" s="1069" customFormat="1" ht="14.25" thickTop="1" thickBot="1" x14ac:dyDescent="0.25">
      <c r="A10" s="1070" t="s">
        <v>1437</v>
      </c>
      <c r="B10" s="1829">
        <f>(B8-B9)</f>
        <v>313521</v>
      </c>
      <c r="C10" s="1829">
        <f>(C8-C9)</f>
        <v>0</v>
      </c>
      <c r="D10" s="1829">
        <f>(D8-D9)</f>
        <v>0</v>
      </c>
      <c r="E10" s="1828">
        <f>(E8-E9)</f>
        <v>0</v>
      </c>
      <c r="F10" s="1830">
        <f>SUM(F8-F9)</f>
        <v>313521</v>
      </c>
    </row>
    <row r="11" spans="1:8" s="1069" customFormat="1" ht="14.25" thickTop="1" thickBot="1" x14ac:dyDescent="0.25">
      <c r="A11" s="1071" t="s">
        <v>1785</v>
      </c>
      <c r="B11" s="1831">
        <f>'Acct Summary 7-8'!C81</f>
        <v>370136</v>
      </c>
      <c r="C11" s="1831">
        <f>'Acct Summary 7-8'!D81</f>
        <v>0</v>
      </c>
      <c r="D11" s="1831">
        <f>'Acct Summary 7-8'!F81</f>
        <v>0</v>
      </c>
      <c r="E11" s="1831">
        <f>'Acct Summary 7-8'!I81</f>
        <v>0</v>
      </c>
      <c r="F11" s="1832">
        <f>SUM(B11:E11)</f>
        <v>370136</v>
      </c>
    </row>
    <row r="12" spans="1:8" ht="16.5" customHeight="1" thickTop="1" x14ac:dyDescent="0.2">
      <c r="A12" s="1072"/>
      <c r="B12" s="1073"/>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74"/>
      <c r="B13" s="1075"/>
      <c r="C13" s="2349"/>
      <c r="D13" s="2350"/>
      <c r="E13" s="2350"/>
      <c r="F13" s="2351"/>
      <c r="H13" s="1064"/>
    </row>
    <row r="14" spans="1:8" ht="19.5" customHeight="1" x14ac:dyDescent="0.2">
      <c r="A14" s="1074"/>
      <c r="B14" s="1075"/>
      <c r="C14" s="2349"/>
      <c r="D14" s="2350"/>
      <c r="E14" s="2350"/>
      <c r="F14" s="2351"/>
      <c r="H14" s="1064"/>
    </row>
    <row r="15" spans="1:8" ht="17.25" customHeight="1" x14ac:dyDescent="0.2">
      <c r="A15" s="1074"/>
      <c r="B15" s="1075"/>
      <c r="C15" s="2352"/>
      <c r="D15" s="2353"/>
      <c r="E15" s="2353"/>
      <c r="F15" s="2354"/>
      <c r="H15" s="1064"/>
    </row>
    <row r="16" spans="1:8" s="310" customFormat="1" ht="51.75" hidden="1" customHeight="1" x14ac:dyDescent="0.2">
      <c r="A16" s="2348" t="s">
        <v>1787</v>
      </c>
      <c r="B16" s="2348"/>
      <c r="C16" s="2348"/>
      <c r="D16" s="2348"/>
      <c r="E16" s="2348"/>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1"/>
      <c r="B2" s="1912"/>
      <c r="C2" s="1913"/>
      <c r="D2" s="1914"/>
    </row>
    <row r="3" spans="1:4" ht="36" customHeight="1" x14ac:dyDescent="0.2">
      <c r="A3" s="2370" t="s">
        <v>686</v>
      </c>
      <c r="B3" s="2371"/>
      <c r="C3" s="2371"/>
      <c r="D3" s="2372"/>
    </row>
    <row r="4" spans="1:4" x14ac:dyDescent="0.2">
      <c r="A4" s="1142" t="s">
        <v>1793</v>
      </c>
      <c r="B4" s="1143"/>
      <c r="C4" s="1144"/>
      <c r="D4" s="1145"/>
    </row>
    <row r="5" spans="1:4" ht="21" customHeight="1" x14ac:dyDescent="0.2">
      <c r="A5" s="1138"/>
      <c r="B5" s="1139">
        <v>1</v>
      </c>
      <c r="C5" s="1140" t="s">
        <v>1946</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381" t="s">
        <v>1584</v>
      </c>
      <c r="D7" s="2382"/>
    </row>
    <row r="8" spans="1:4" s="659" customFormat="1" ht="12.75" x14ac:dyDescent="0.2">
      <c r="A8" s="1128"/>
      <c r="B8" s="1083"/>
      <c r="C8" s="1086" t="s">
        <v>1583</v>
      </c>
      <c r="D8" s="1087"/>
    </row>
    <row r="9" spans="1:4" s="659" customFormat="1" ht="14.25" customHeight="1" x14ac:dyDescent="0.2">
      <c r="A9" s="1128"/>
      <c r="B9" s="1083">
        <f>B7+1</f>
        <v>4</v>
      </c>
      <c r="C9" s="1084" t="s">
        <v>2049</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373" t="s">
        <v>1065</v>
      </c>
      <c r="B15" s="2374"/>
      <c r="C15" s="2374"/>
      <c r="D15" s="2375"/>
    </row>
    <row r="16" spans="1:4" s="659" customFormat="1" ht="24" customHeight="1" x14ac:dyDescent="0.2">
      <c r="A16" s="2376" t="s">
        <v>684</v>
      </c>
      <c r="B16" s="2377"/>
      <c r="C16" s="2377"/>
      <c r="D16" s="2378"/>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385" t="s">
        <v>332</v>
      </c>
      <c r="D21" s="2386"/>
    </row>
    <row r="22" spans="1:10" ht="12.75" x14ac:dyDescent="0.2">
      <c r="A22" s="1129"/>
      <c r="B22" s="1130">
        <v>2</v>
      </c>
      <c r="C22" s="2383" t="s">
        <v>1605</v>
      </c>
      <c r="D22" s="2384"/>
    </row>
    <row r="23" spans="1:10" ht="12.2" customHeight="1" x14ac:dyDescent="0.2">
      <c r="A23" s="1129"/>
      <c r="B23" s="1130"/>
      <c r="C23" s="1131" t="s">
        <v>1011</v>
      </c>
      <c r="D23" s="1132" t="str">
        <f>IF(COVER!O11="X","CASH",IF(COVER!O12="X","ACCRUAL ","PLEASE CHECK AN ACCOUNTING BASIS."))</f>
        <v>CASH</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OK</v>
      </c>
    </row>
    <row r="28" spans="1:10" ht="24" hidden="1" customHeight="1" x14ac:dyDescent="0.2">
      <c r="A28" s="1096"/>
      <c r="B28" s="1133"/>
      <c r="C28" s="1092" t="s">
        <v>897</v>
      </c>
      <c r="D28" s="1097" t="b">
        <f>IF('Aud Quest 2'!B53="X",IF('Aud Quest 2'!F53&gt;"00/00/00 ","Enter Effective Date","ok"))</f>
        <v>0</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387" t="s">
        <v>557</v>
      </c>
      <c r="D43" s="2388"/>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379" t="s">
        <v>817</v>
      </c>
      <c r="D56" s="2380"/>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2050</v>
      </c>
      <c r="D66" s="1115"/>
    </row>
    <row r="67" spans="1:4" x14ac:dyDescent="0.2">
      <c r="A67" s="1109"/>
      <c r="B67" s="1130"/>
      <c r="C67" s="1137" t="s">
        <v>1079</v>
      </c>
      <c r="D67" s="1115"/>
    </row>
    <row r="68" spans="1:4" x14ac:dyDescent="0.2">
      <c r="A68" s="1090"/>
      <c r="B68" s="1100"/>
      <c r="C68" s="1092" t="s">
        <v>2051</v>
      </c>
      <c r="D68" s="1114" t="str">
        <f>IF('Short-Term Long-Term Debt 24'!F49=SUM(,'Acct Summary 7-8'!C33:K33),"OK","ERROR!")</f>
        <v>OK</v>
      </c>
    </row>
    <row r="69" spans="1:4" x14ac:dyDescent="0.2">
      <c r="A69" s="1090"/>
      <c r="B69" s="1100"/>
      <c r="C69" s="1092" t="s">
        <v>2052</v>
      </c>
      <c r="D69" s="1114" t="str">
        <f>IF('Expenditures 15-22'!H170&lt;&gt;'Short-Term Long-Term Debt 24'!H49,"ERROR!","OK")</f>
        <v>OK</v>
      </c>
    </row>
    <row r="70" spans="1:4" x14ac:dyDescent="0.2">
      <c r="A70" s="1088"/>
      <c r="B70" s="1110">
        <f>B66+1</f>
        <v>9</v>
      </c>
      <c r="C70" s="2379" t="s">
        <v>1797</v>
      </c>
      <c r="D70" s="2380"/>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2053</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2054</v>
      </c>
      <c r="D78" s="1114" t="str">
        <f>IF(ISNUMBER('Acct Summary 7-8'!C9),"OK","ENTRY IS REQUIRED!")</f>
        <v>OK</v>
      </c>
    </row>
    <row r="79" spans="1:4" x14ac:dyDescent="0.2">
      <c r="A79" s="1109"/>
      <c r="B79" s="1110">
        <f>B74+1+1</f>
        <v>12</v>
      </c>
      <c r="C79" s="1120" t="s">
        <v>2019</v>
      </c>
      <c r="D79" s="1121" t="str">
        <f>IF(OR(COVER!$B$6="X",'PCTC-OEPP 27-28'!F78&gt;0),"OK","PLEASE ENTER 9 MO ADA.")</f>
        <v>OK</v>
      </c>
    </row>
    <row r="80" spans="1:4" x14ac:dyDescent="0.2">
      <c r="A80" s="1088"/>
      <c r="B80" s="1110">
        <v>13</v>
      </c>
      <c r="C80" s="1120" t="s">
        <v>2055</v>
      </c>
      <c r="D80" s="1121" t="str">
        <f>IF('Contracts Paid in CY 29'!D141&gt;0,"OK","PLEASE ENTER CONTRACTS PAID IN CURRENT YEAR.")</f>
        <v>PLEASE ENTER CONTRACTS PAID IN CURRENT YEAR.</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31000000046</v>
      </c>
    </row>
    <row r="3" spans="1:2" x14ac:dyDescent="0.2">
      <c r="A3" t="s">
        <v>1013</v>
      </c>
      <c r="B3" s="138" t="str">
        <f>COVER!A15</f>
        <v>Kane</v>
      </c>
    </row>
    <row r="4" spans="1:2" x14ac:dyDescent="0.2">
      <c r="A4" t="s">
        <v>1064</v>
      </c>
      <c r="B4" s="138" t="str">
        <f>COVER!A17</f>
        <v>Valley Ed for Employment System</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Michael A. Moyski</v>
      </c>
    </row>
    <row r="18" spans="1:2" x14ac:dyDescent="0.2">
      <c r="A18" t="s">
        <v>1212</v>
      </c>
      <c r="B18" s="138" t="str">
        <f>COVER!T17</f>
        <v>211 South Wheaton Avenue, Suite 300</v>
      </c>
    </row>
    <row r="19" spans="1:2" x14ac:dyDescent="0.2">
      <c r="A19" t="s">
        <v>941</v>
      </c>
      <c r="B19" s="138" t="str">
        <f>COVER!T25</f>
        <v>mmoyski@mmaadvisors.com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370136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370136</v>
      </c>
      <c r="D92" s="2" t="str">
        <f t="shared" si="0"/>
        <v>Error?</v>
      </c>
    </row>
    <row r="93" spans="1:4" x14ac:dyDescent="0.2">
      <c r="A93" s="5">
        <v>32</v>
      </c>
      <c r="B93" s="138">
        <f>'Assets-Liab 5-6'!C41</f>
        <v>370136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32493</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32493</v>
      </c>
      <c r="C843" s="2" t="s">
        <v>594</v>
      </c>
      <c r="D843" s="2" t="str">
        <f t="shared" si="12"/>
        <v>Error?</v>
      </c>
    </row>
    <row r="844" spans="1:4" x14ac:dyDescent="0.2">
      <c r="A844" s="5">
        <v>783</v>
      </c>
      <c r="B844" s="138">
        <f>'Expenditures 15-22'!E44</f>
        <v>176233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176233</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129497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338223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338223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2360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2360</v>
      </c>
      <c r="C901" s="2" t="s">
        <v>594</v>
      </c>
      <c r="D901" s="2" t="str">
        <f t="shared" si="13"/>
        <v>Error?</v>
      </c>
    </row>
    <row r="902" spans="1:4" x14ac:dyDescent="0.2">
      <c r="A902" s="5">
        <v>841</v>
      </c>
      <c r="B902" s="138">
        <f>'Expenditures 15-22'!F44</f>
        <v>12080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12080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6623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21063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21063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2210183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2210183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34853</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34853</v>
      </c>
      <c r="C1115" s="2" t="s">
        <v>594</v>
      </c>
      <c r="D1115" s="2" t="str">
        <f t="shared" si="16"/>
        <v>Error?</v>
      </c>
    </row>
    <row r="1116" spans="1:4" x14ac:dyDescent="0.2">
      <c r="A1116" s="5">
        <v>1055</v>
      </c>
      <c r="B1116" s="138">
        <f>'Expenditures 15-22'!K44</f>
        <v>188313</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188313</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136120</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359286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2210183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2569469</v>
      </c>
      <c r="C1152" s="2" t="s">
        <v>594</v>
      </c>
      <c r="D1152" s="2" t="str">
        <f t="shared" si="17"/>
        <v>Error?</v>
      </c>
    </row>
    <row r="1153" spans="1:4" x14ac:dyDescent="0.2">
      <c r="A1153" s="5">
        <v>1092</v>
      </c>
      <c r="B1153" s="138">
        <f>'Expenditures 15-22'!K115</f>
        <v>313521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56615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370136</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116</v>
      </c>
      <c r="C2551" s="2" t="s">
        <v>594</v>
      </c>
      <c r="D2551" s="2" t="str">
        <f t="shared" si="38"/>
        <v>Error?</v>
      </c>
    </row>
    <row r="2552" spans="1:4" x14ac:dyDescent="0.2">
      <c r="A2552" s="10">
        <v>2491</v>
      </c>
      <c r="D2552" s="2" t="str">
        <f t="shared" si="38"/>
        <v>OK</v>
      </c>
    </row>
    <row r="2553" spans="1:4" x14ac:dyDescent="0.2">
      <c r="A2553" s="5">
        <v>2492</v>
      </c>
      <c r="B2553" s="138">
        <f>'Acct Summary 7-8'!C6</f>
        <v>195845</v>
      </c>
      <c r="C2553" s="2" t="s">
        <v>594</v>
      </c>
      <c r="D2553" s="2" t="str">
        <f t="shared" si="38"/>
        <v>Error?</v>
      </c>
    </row>
    <row r="2554" spans="1:4" x14ac:dyDescent="0.2">
      <c r="A2554" s="5">
        <v>2493</v>
      </c>
      <c r="B2554" s="138">
        <f>'Acct Summary 7-8'!C7</f>
        <v>101000</v>
      </c>
      <c r="C2554" s="2" t="s">
        <v>594</v>
      </c>
      <c r="D2554" s="2" t="str">
        <f t="shared" si="38"/>
        <v>Error?</v>
      </c>
    </row>
    <row r="2555" spans="1:4" x14ac:dyDescent="0.2">
      <c r="A2555" s="5">
        <v>2494</v>
      </c>
      <c r="B2555" s="138">
        <f>'Acct Summary 7-8'!C8</f>
        <v>2882990</v>
      </c>
      <c r="C2555" s="2" t="s">
        <v>594</v>
      </c>
      <c r="D2555" s="2" t="str">
        <f t="shared" si="38"/>
        <v>Error?</v>
      </c>
    </row>
    <row r="2556" spans="1:4" x14ac:dyDescent="0.2">
      <c r="A2556" s="5">
        <v>2495</v>
      </c>
      <c r="B2556" s="138">
        <f>'Acct Summary 7-8'!C12</f>
        <v>0</v>
      </c>
      <c r="C2556" s="2" t="s">
        <v>594</v>
      </c>
      <c r="D2556" s="2" t="str">
        <f t="shared" si="38"/>
        <v>Error?</v>
      </c>
    </row>
    <row r="2557" spans="1:4" x14ac:dyDescent="0.2">
      <c r="A2557" s="5">
        <v>2496</v>
      </c>
      <c r="B2557" s="138">
        <f>'Acct Summary 7-8'!C13</f>
        <v>359286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2210183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2569469</v>
      </c>
      <c r="C2561" s="2" t="s">
        <v>594</v>
      </c>
      <c r="D2561" s="2" t="str">
        <f t="shared" si="39"/>
        <v>Error?</v>
      </c>
    </row>
    <row r="2562" spans="1:4" x14ac:dyDescent="0.2">
      <c r="A2562" s="5">
        <v>2501</v>
      </c>
      <c r="B2562" s="138">
        <f>'Acct Summary 7-8'!C20</f>
        <v>313521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129497</v>
      </c>
      <c r="D2720" s="2" t="str">
        <f t="shared" si="41"/>
        <v>Error?</v>
      </c>
    </row>
    <row r="2721" spans="1:4" x14ac:dyDescent="0.2">
      <c r="A2721" s="5">
        <v>2660</v>
      </c>
      <c r="B2721" s="138">
        <f>'Expenditures 15-22'!F51</f>
        <v>6623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136120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313521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2586029</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370136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2882990</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2569469</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370136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594</v>
      </c>
      <c r="D5120" s="2" t="str">
        <f t="shared" si="79"/>
        <v>Error?</v>
      </c>
    </row>
    <row r="5121" spans="1:4" x14ac:dyDescent="0.2">
      <c r="A5121" s="5">
        <v>5060</v>
      </c>
      <c r="B5121" s="138">
        <f>'Revenues 9-14'!C109</f>
        <v>116</v>
      </c>
      <c r="C5121" s="2" t="s">
        <v>594</v>
      </c>
      <c r="D5121" s="2" t="str">
        <f t="shared" si="79"/>
        <v>Error?</v>
      </c>
    </row>
    <row r="5122" spans="1:4" x14ac:dyDescent="0.2">
      <c r="A5122" s="5">
        <v>5061</v>
      </c>
      <c r="B5122" s="138">
        <f>'Revenues 9-14'!C111</f>
        <v>1939835</v>
      </c>
      <c r="D5122" s="2" t="str">
        <f t="shared" si="79"/>
        <v>Error?</v>
      </c>
    </row>
    <row r="5123" spans="1:4" x14ac:dyDescent="0.2">
      <c r="A5123" s="5">
        <v>5062</v>
      </c>
      <c r="B5123" s="138">
        <f>'Revenues 9-14'!C112</f>
        <v>646194</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2586029</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195845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195845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195845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195845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101000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101000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101000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101000</v>
      </c>
      <c r="C5326" s="2" t="s">
        <v>594</v>
      </c>
      <c r="D5326" s="2" t="str">
        <f t="shared" si="82"/>
        <v>Error?</v>
      </c>
    </row>
    <row r="5327" spans="1:4" x14ac:dyDescent="0.2">
      <c r="A5327" s="5">
        <v>5266</v>
      </c>
      <c r="B5327" s="138">
        <f>'Revenues 9-14'!C275</f>
        <v>2882990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313521</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0.84704270862601849</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2210183</v>
      </c>
      <c r="D7002" s="2" t="str">
        <f t="shared" si="108"/>
        <v>Error?</v>
      </c>
    </row>
    <row r="7003" spans="1:4" x14ac:dyDescent="0.2">
      <c r="A7003">
        <v>6942</v>
      </c>
      <c r="B7003" s="138">
        <f>'Expenditures 15-22'!K96</f>
        <v>2210183</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2210183</v>
      </c>
      <c r="D7012" s="2" t="str">
        <f t="shared" si="108"/>
        <v>Error?</v>
      </c>
    </row>
    <row r="7013" spans="1:4" x14ac:dyDescent="0.2">
      <c r="A7013">
        <v>6952</v>
      </c>
      <c r="B7013" s="138">
        <f>'Expenditures 15-22'!K100</f>
        <v>2210183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12" t="s">
        <v>1253</v>
      </c>
      <c r="B2" s="2412"/>
      <c r="C2" s="2412"/>
      <c r="D2" s="2412"/>
      <c r="E2" s="2412"/>
      <c r="F2" s="2412"/>
      <c r="G2" s="2412"/>
      <c r="H2" s="2412"/>
      <c r="I2" s="2412"/>
      <c r="J2" s="2412"/>
      <c r="K2" s="2412"/>
      <c r="L2" s="2412"/>
    </row>
    <row r="3" spans="1:29" ht="13.5" customHeight="1" x14ac:dyDescent="0.2">
      <c r="A3" s="2398" t="s">
        <v>1252</v>
      </c>
      <c r="B3" s="2398"/>
      <c r="C3" s="2398"/>
      <c r="D3" s="2398"/>
      <c r="E3" s="2398"/>
      <c r="F3" s="2398"/>
      <c r="G3" s="2398"/>
      <c r="H3" s="2398"/>
      <c r="I3" s="2398"/>
      <c r="J3" s="2398"/>
      <c r="K3" s="2398"/>
      <c r="L3" s="2398"/>
    </row>
    <row r="4" spans="1:29" ht="13.5" customHeight="1" x14ac:dyDescent="0.2">
      <c r="A4" s="2412" t="s">
        <v>1799</v>
      </c>
      <c r="B4" s="2429"/>
      <c r="C4" s="2429"/>
      <c r="D4" s="2429"/>
      <c r="E4" s="2429"/>
      <c r="F4" s="2429"/>
      <c r="G4" s="2429"/>
      <c r="H4" s="2429"/>
      <c r="I4" s="2429"/>
      <c r="J4" s="2429"/>
      <c r="K4" s="2429"/>
      <c r="L4" s="2429"/>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392" t="str">
        <f>COVER!A17</f>
        <v>Valley Ed for Employment System</v>
      </c>
      <c r="B7" s="2393"/>
      <c r="C7" s="2393"/>
      <c r="D7" s="2430"/>
      <c r="E7" s="2431">
        <f>COVER!A13</f>
        <v>31000000046</v>
      </c>
      <c r="F7" s="2432"/>
      <c r="G7" s="2399">
        <f>COVER!T23</f>
        <v>66003412</v>
      </c>
      <c r="H7" s="2400"/>
      <c r="I7" s="2400"/>
      <c r="J7" s="2400"/>
      <c r="K7" s="2400"/>
      <c r="L7" s="2401"/>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402"/>
      <c r="B9" s="2403"/>
      <c r="C9" s="2403"/>
      <c r="D9" s="2403"/>
      <c r="E9" s="2403"/>
      <c r="F9" s="2404"/>
      <c r="G9" s="2405" t="str">
        <f>COVER!T13</f>
        <v>Mathieson, Moyski, Austin &amp; Co. LLP</v>
      </c>
      <c r="H9" s="2406"/>
      <c r="I9" s="2406"/>
      <c r="J9" s="2406"/>
      <c r="K9" s="2406"/>
      <c r="L9" s="2407"/>
    </row>
    <row r="10" spans="1:29" ht="13.5" customHeight="1" x14ac:dyDescent="0.2">
      <c r="A10" s="2389">
        <f>COVER!A38</f>
        <v>0</v>
      </c>
      <c r="B10" s="2390"/>
      <c r="C10" s="2390"/>
      <c r="D10" s="2390"/>
      <c r="E10" s="2390"/>
      <c r="F10" s="2391"/>
      <c r="G10" s="2405" t="str">
        <f>COVER!T17</f>
        <v>211 South Wheaton Avenue, Suite 300</v>
      </c>
      <c r="H10" s="2418"/>
      <c r="I10" s="2418"/>
      <c r="J10" s="2418"/>
      <c r="K10" s="2418"/>
      <c r="L10" s="2419"/>
    </row>
    <row r="11" spans="1:29" ht="13.5" customHeight="1" x14ac:dyDescent="0.2">
      <c r="A11" s="1174" t="s">
        <v>1599</v>
      </c>
      <c r="B11" s="1175"/>
      <c r="C11" s="1176"/>
      <c r="D11" s="1181"/>
      <c r="E11" s="1176"/>
      <c r="F11" s="1180"/>
      <c r="G11" s="2405" t="str">
        <f>COVER!T19</f>
        <v>Wheaton</v>
      </c>
      <c r="H11" s="2418"/>
      <c r="I11" s="2418"/>
      <c r="J11" s="2418"/>
      <c r="K11" s="2418"/>
      <c r="L11" s="2419"/>
    </row>
    <row r="12" spans="1:29" ht="13.5" customHeight="1" x14ac:dyDescent="0.2">
      <c r="A12" s="2423" t="s">
        <v>1598</v>
      </c>
      <c r="B12" s="2424"/>
      <c r="C12" s="2424"/>
      <c r="D12" s="2424"/>
      <c r="E12" s="2424"/>
      <c r="F12" s="2425"/>
      <c r="G12" s="2420"/>
      <c r="H12" s="2421"/>
      <c r="I12" s="2421"/>
      <c r="J12" s="2421"/>
      <c r="K12" s="2421"/>
      <c r="L12" s="2422"/>
    </row>
    <row r="13" spans="1:29" ht="13.5" customHeight="1" x14ac:dyDescent="0.2">
      <c r="A13" s="2405"/>
      <c r="B13" s="2418"/>
      <c r="C13" s="2418"/>
      <c r="D13" s="2418"/>
      <c r="E13" s="2418"/>
      <c r="F13" s="2419"/>
      <c r="G13" s="2413" t="s">
        <v>1600</v>
      </c>
      <c r="H13" s="2414"/>
      <c r="I13" s="2426" t="str">
        <f>COVER!T25</f>
        <v>mmoyski@mmaadvisors.com</v>
      </c>
      <c r="J13" s="2427"/>
      <c r="K13" s="2427"/>
      <c r="L13" s="2428"/>
    </row>
    <row r="14" spans="1:29" ht="13.5" customHeight="1" x14ac:dyDescent="0.2">
      <c r="A14" s="2405" t="str">
        <f>COVER!A19</f>
        <v>Route 47 at Waubonsee Dr.</v>
      </c>
      <c r="B14" s="2418"/>
      <c r="C14" s="2418"/>
      <c r="D14" s="2418"/>
      <c r="E14" s="2418"/>
      <c r="F14" s="2419"/>
      <c r="G14" s="1185" t="s">
        <v>1247</v>
      </c>
      <c r="H14" s="1183"/>
      <c r="I14" s="1183"/>
      <c r="J14" s="1183"/>
      <c r="K14" s="1183"/>
      <c r="L14" s="1184"/>
    </row>
    <row r="15" spans="1:29" ht="13.5" customHeight="1" x14ac:dyDescent="0.2">
      <c r="A15" s="2405" t="str">
        <f>COVER!A21</f>
        <v>Sugar Grove</v>
      </c>
      <c r="B15" s="2418"/>
      <c r="C15" s="2418"/>
      <c r="D15" s="2418"/>
      <c r="E15" s="2418"/>
      <c r="F15" s="2419"/>
      <c r="G15" s="2415" t="str">
        <f>COVER!T15</f>
        <v>Michael A. Moyski</v>
      </c>
      <c r="H15" s="2416"/>
      <c r="I15" s="2416"/>
      <c r="J15" s="2416"/>
      <c r="K15" s="2416"/>
      <c r="L15" s="2417"/>
    </row>
    <row r="16" spans="1:29" ht="12.2" customHeight="1" x14ac:dyDescent="0.2">
      <c r="A16" s="2395">
        <f>COVER!A25</f>
        <v>60554</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85" t="s">
        <v>1246</v>
      </c>
      <c r="H17" s="1183"/>
      <c r="I17" s="1183"/>
      <c r="J17" s="1183"/>
      <c r="K17" s="1187" t="s">
        <v>1245</v>
      </c>
      <c r="L17" s="1180"/>
      <c r="M17" s="1173"/>
    </row>
    <row r="18" spans="1:13" ht="12.2" customHeight="1" x14ac:dyDescent="0.2">
      <c r="A18" s="2389"/>
      <c r="B18" s="2390"/>
      <c r="C18" s="2390"/>
      <c r="D18" s="2390"/>
      <c r="E18" s="2390"/>
      <c r="F18" s="2391"/>
      <c r="G18" s="2392" t="str">
        <f>COVER!T21</f>
        <v>630-653-1616</v>
      </c>
      <c r="H18" s="2393"/>
      <c r="I18" s="2393"/>
      <c r="J18" s="2393"/>
      <c r="K18" s="2392" t="str">
        <f>COVER!X21</f>
        <v>630-653-1735</v>
      </c>
      <c r="L18" s="2394"/>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c r="C26" s="1192" t="s">
        <v>1801</v>
      </c>
    </row>
    <row r="27" spans="1:13" s="1188" customFormat="1" ht="9" customHeight="1" x14ac:dyDescent="0.2">
      <c r="B27" s="1193"/>
      <c r="C27" s="1192"/>
    </row>
    <row r="28" spans="1:13" s="1188" customFormat="1" ht="12.2" customHeight="1" x14ac:dyDescent="0.2">
      <c r="A28" s="1195"/>
      <c r="B28" s="1191"/>
      <c r="C28" s="1192" t="s">
        <v>1802</v>
      </c>
    </row>
    <row r="29" spans="1:13" s="1188" customFormat="1" ht="9" customHeight="1" x14ac:dyDescent="0.2">
      <c r="A29" s="1195"/>
      <c r="B29" s="1193"/>
      <c r="C29" s="1192"/>
    </row>
    <row r="30" spans="1:13" s="1188" customFormat="1" ht="12.2" customHeight="1" x14ac:dyDescent="0.2">
      <c r="B30" s="1191"/>
      <c r="C30" s="1192" t="s">
        <v>1643</v>
      </c>
      <c r="D30" s="1186"/>
      <c r="E30" s="1186"/>
    </row>
    <row r="31" spans="1:13" s="1188" customFormat="1" ht="9" customHeight="1" x14ac:dyDescent="0.2">
      <c r="B31" s="1193"/>
      <c r="C31" s="1192"/>
      <c r="D31" s="1186"/>
      <c r="E31" s="1186"/>
    </row>
    <row r="32" spans="1:13" s="1188" customFormat="1" ht="12.2" customHeight="1" x14ac:dyDescent="0.2">
      <c r="B32" s="1191"/>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c r="C38" s="1192" t="s">
        <v>1647</v>
      </c>
    </row>
    <row r="39" spans="1:8" ht="9" customHeight="1" x14ac:dyDescent="0.2">
      <c r="B39" s="1193"/>
      <c r="C39" s="1196"/>
    </row>
    <row r="40" spans="1:8" s="1188" customFormat="1" ht="13.5" customHeight="1" x14ac:dyDescent="0.2">
      <c r="B40" s="1191"/>
      <c r="C40" s="1192" t="s">
        <v>1648</v>
      </c>
    </row>
    <row r="41" spans="1:8" ht="9" customHeight="1" x14ac:dyDescent="0.2">
      <c r="A41" s="1197"/>
      <c r="B41" s="1193"/>
      <c r="C41" s="1196"/>
    </row>
    <row r="42" spans="1:8" s="1188" customFormat="1" ht="13.5" customHeight="1" x14ac:dyDescent="0.2">
      <c r="B42" s="1191"/>
      <c r="C42" s="1192" t="s">
        <v>1947</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33" t="str">
        <f>'Single Audit Cover'!A7</f>
        <v>Valley Ed for Employment System</v>
      </c>
      <c r="B1" s="2429"/>
      <c r="C1" s="2429"/>
      <c r="D1" s="2429"/>
    </row>
    <row r="2" spans="1:11" s="1204" customFormat="1" ht="12.75" x14ac:dyDescent="0.2">
      <c r="A2" s="2434">
        <f>'Single Audit Cover'!E7</f>
        <v>31000000046</v>
      </c>
      <c r="B2" s="2435"/>
      <c r="C2" s="2435"/>
      <c r="D2" s="2435"/>
    </row>
    <row r="3" spans="1:11" s="1204" customFormat="1" ht="12.75" x14ac:dyDescent="0.2">
      <c r="A3" s="2433" t="s">
        <v>1593</v>
      </c>
      <c r="B3" s="2429"/>
      <c r="C3" s="2429"/>
      <c r="D3" s="2429"/>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1948</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437" t="str">
        <f>'Single Audit Cover'!A7</f>
        <v>Valley Ed for Employment System</v>
      </c>
      <c r="B1" s="2437"/>
      <c r="C1" s="2437"/>
      <c r="D1" s="2437"/>
      <c r="E1" s="2437"/>
    </row>
    <row r="2" spans="1:5" x14ac:dyDescent="0.2">
      <c r="A2" s="2438">
        <f>'Single Audit Cover'!E7</f>
        <v>31000000046</v>
      </c>
      <c r="B2" s="2438"/>
      <c r="C2" s="2438"/>
      <c r="D2" s="2438"/>
      <c r="E2" s="2438"/>
    </row>
    <row r="3" spans="1:5" ht="4.5" customHeight="1" x14ac:dyDescent="0.2"/>
    <row r="4" spans="1:5" x14ac:dyDescent="0.2">
      <c r="A4" s="2437" t="s">
        <v>1307</v>
      </c>
      <c r="B4" s="2437"/>
      <c r="C4" s="2437"/>
      <c r="D4" s="2437"/>
      <c r="E4" s="2437"/>
    </row>
    <row r="5" spans="1:5" x14ac:dyDescent="0.2">
      <c r="A5" s="2440" t="str">
        <f>'Single Audit Cover'!A4</f>
        <v>Year Ending June 30, 2018</v>
      </c>
      <c r="B5" s="2440"/>
      <c r="C5" s="2440"/>
      <c r="D5" s="2440"/>
      <c r="E5" s="2440"/>
    </row>
    <row r="6" spans="1:5" x14ac:dyDescent="0.2">
      <c r="A6" s="2437" t="s">
        <v>1306</v>
      </c>
      <c r="B6" s="2437"/>
      <c r="C6" s="2437"/>
      <c r="D6" s="2437"/>
      <c r="E6" s="2437"/>
    </row>
    <row r="8" spans="1:5" x14ac:dyDescent="0.2">
      <c r="A8" s="1249" t="s">
        <v>1305</v>
      </c>
    </row>
    <row r="10" spans="1:5" x14ac:dyDescent="0.2">
      <c r="A10" s="1250" t="s">
        <v>1304</v>
      </c>
      <c r="B10" s="1251" t="s">
        <v>1303</v>
      </c>
      <c r="C10" s="1251"/>
      <c r="D10" s="1252">
        <f>SUM('Acct Summary 7-8'!C7:K7)</f>
        <v>101000</v>
      </c>
    </row>
    <row r="11" spans="1:5" ht="18" customHeight="1" x14ac:dyDescent="0.2">
      <c r="A11" s="1250" t="s">
        <v>1302</v>
      </c>
      <c r="B11" s="1251"/>
      <c r="C11" s="1251"/>
    </row>
    <row r="12" spans="1:5" x14ac:dyDescent="0.2">
      <c r="A12" s="1250" t="s">
        <v>1301</v>
      </c>
      <c r="B12" s="1251" t="s">
        <v>1300</v>
      </c>
      <c r="C12" s="1251"/>
      <c r="D12" s="1253">
        <f>SUM('Revenues 9-14'!C112:D112,'Revenues 9-14'!F112:G112)</f>
        <v>646194</v>
      </c>
    </row>
    <row r="13" spans="1:5" x14ac:dyDescent="0.2">
      <c r="A13" s="1250" t="s">
        <v>1299</v>
      </c>
      <c r="B13" s="1251"/>
      <c r="C13" s="1251"/>
    </row>
    <row r="14" spans="1:5" x14ac:dyDescent="0.2">
      <c r="A14" s="1250" t="s">
        <v>1830</v>
      </c>
      <c r="B14" s="1251"/>
      <c r="C14" s="1251"/>
      <c r="D14" s="1253">
        <f>'ICR Computation 30'!E11</f>
        <v>0</v>
      </c>
    </row>
    <row r="15" spans="1:5" x14ac:dyDescent="0.2">
      <c r="A15" s="1250"/>
      <c r="B15" s="1251"/>
      <c r="C15" s="1251"/>
    </row>
    <row r="16" spans="1:5" x14ac:dyDescent="0.2">
      <c r="A16" s="1250" t="s">
        <v>1956</v>
      </c>
      <c r="B16" s="1251"/>
      <c r="C16" s="1251"/>
    </row>
    <row r="17" spans="1:4" x14ac:dyDescent="0.2">
      <c r="A17" s="1250" t="s">
        <v>1601</v>
      </c>
      <c r="B17" s="1251" t="s">
        <v>1298</v>
      </c>
      <c r="C17" s="1251"/>
      <c r="D17" s="1253">
        <f>-SUM('Revenues 9-14'!C271:D271,'Revenues 9-14'!F271:G271)</f>
        <v>0</v>
      </c>
    </row>
    <row r="19" spans="1:4" ht="13.5" thickBot="1" x14ac:dyDescent="0.25">
      <c r="A19" s="1254" t="s">
        <v>1297</v>
      </c>
      <c r="D19" s="1255">
        <f>SUM(D10:D17)</f>
        <v>747194</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439"/>
      <c r="B24" s="2439"/>
      <c r="D24" s="1257"/>
    </row>
    <row r="25" spans="1:4" x14ac:dyDescent="0.2">
      <c r="A25" s="2436"/>
      <c r="B25" s="2436"/>
      <c r="D25" s="1257"/>
    </row>
    <row r="26" spans="1:4" x14ac:dyDescent="0.2">
      <c r="A26" s="2436"/>
      <c r="B26" s="2436"/>
      <c r="D26" s="1257"/>
    </row>
    <row r="27" spans="1:4" x14ac:dyDescent="0.2">
      <c r="A27" s="2436"/>
      <c r="B27" s="2436"/>
      <c r="D27" s="1257"/>
    </row>
    <row r="28" spans="1:4" x14ac:dyDescent="0.2">
      <c r="A28" s="2436"/>
      <c r="B28" s="2436"/>
      <c r="D28" s="1257"/>
    </row>
    <row r="29" spans="1:4" x14ac:dyDescent="0.2">
      <c r="A29" s="2436"/>
      <c r="B29" s="2436"/>
      <c r="D29" s="1257"/>
    </row>
    <row r="30" spans="1:4" x14ac:dyDescent="0.2">
      <c r="A30" s="2436"/>
      <c r="B30" s="2436"/>
      <c r="D30" s="1257"/>
    </row>
    <row r="32" spans="1:4" x14ac:dyDescent="0.2">
      <c r="A32" s="1249" t="s">
        <v>1295</v>
      </c>
      <c r="D32" s="1252">
        <f>SUM(D19:D30)</f>
        <v>747194</v>
      </c>
    </row>
    <row r="33" spans="1:4" x14ac:dyDescent="0.2">
      <c r="D33" s="1258"/>
    </row>
    <row r="34" spans="1:4" x14ac:dyDescent="0.2">
      <c r="A34" s="317" t="s">
        <v>1294</v>
      </c>
    </row>
    <row r="35" spans="1:4" x14ac:dyDescent="0.2">
      <c r="A35" s="317" t="s">
        <v>1293</v>
      </c>
      <c r="B35" s="1247" t="s">
        <v>1292</v>
      </c>
      <c r="D35" s="1259"/>
    </row>
    <row r="37" spans="1:4" x14ac:dyDescent="0.2">
      <c r="A37" s="1249" t="s">
        <v>1291</v>
      </c>
    </row>
    <row r="39" spans="1:4" ht="13.35" customHeight="1" x14ac:dyDescent="0.2">
      <c r="A39" s="1256" t="s">
        <v>1290</v>
      </c>
    </row>
    <row r="40" spans="1:4" x14ac:dyDescent="0.2">
      <c r="A40" s="2436"/>
      <c r="B40" s="2436"/>
      <c r="D40" s="1257"/>
    </row>
    <row r="41" spans="1:4" x14ac:dyDescent="0.2">
      <c r="A41" s="2436"/>
      <c r="B41" s="2436"/>
      <c r="D41" s="1260"/>
    </row>
    <row r="42" spans="1:4" x14ac:dyDescent="0.2">
      <c r="A42" s="2436"/>
      <c r="B42" s="2436"/>
      <c r="D42" s="1260"/>
    </row>
    <row r="43" spans="1:4" x14ac:dyDescent="0.2">
      <c r="A43" s="2436"/>
      <c r="B43" s="2436"/>
      <c r="D43" s="1260"/>
    </row>
    <row r="44" spans="1:4" x14ac:dyDescent="0.2">
      <c r="A44" s="2436"/>
      <c r="B44" s="2436"/>
      <c r="D44" s="1260"/>
    </row>
    <row r="45" spans="1:4" x14ac:dyDescent="0.2">
      <c r="A45" s="2436"/>
      <c r="B45" s="2436"/>
      <c r="D45" s="1260"/>
    </row>
    <row r="47" spans="1:4" x14ac:dyDescent="0.2">
      <c r="B47" s="1261" t="s">
        <v>1289</v>
      </c>
      <c r="C47" s="1261"/>
      <c r="D47" s="1262">
        <f>SUM(D35:D45)</f>
        <v>0</v>
      </c>
    </row>
    <row r="49" spans="2:4" x14ac:dyDescent="0.2">
      <c r="B49" s="1261" t="s">
        <v>1288</v>
      </c>
      <c r="C49" s="1261"/>
      <c r="D49" s="1262">
        <f>D32-D47</f>
        <v>747194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Valley Ed for Employment System</v>
      </c>
      <c r="B1" s="2442"/>
      <c r="C1" s="2442"/>
      <c r="D1" s="2442"/>
      <c r="E1" s="2442"/>
      <c r="F1" s="2442"/>
    </row>
    <row r="2" spans="1:7" ht="13.5" customHeight="1" x14ac:dyDescent="0.2">
      <c r="A2" s="2443">
        <f>'Single Audit Cover'!E7</f>
        <v>31000000046</v>
      </c>
      <c r="B2" s="2443"/>
      <c r="C2" s="2443"/>
      <c r="D2" s="2443"/>
      <c r="E2" s="2443"/>
      <c r="F2" s="2443"/>
      <c r="G2" s="1264"/>
    </row>
    <row r="3" spans="1:7" ht="15.75" customHeight="1" x14ac:dyDescent="0.2">
      <c r="A3" s="2444" t="s">
        <v>1333</v>
      </c>
      <c r="B3" s="2444"/>
      <c r="C3" s="2444"/>
      <c r="D3" s="2444"/>
      <c r="E3" s="2444"/>
      <c r="F3" s="2444"/>
    </row>
    <row r="4" spans="1:7" ht="13.5" customHeight="1" x14ac:dyDescent="0.2">
      <c r="A4" s="2445" t="str">
        <f>'Single Audit Cover'!A4</f>
        <v>Year Ending June 30, 2018</v>
      </c>
      <c r="B4" s="2445"/>
      <c r="C4" s="2445"/>
      <c r="D4" s="2445"/>
      <c r="E4" s="2445"/>
      <c r="F4" s="2445"/>
    </row>
    <row r="5" spans="1:7" ht="8.25" customHeight="1" x14ac:dyDescent="0.2">
      <c r="C5" s="317"/>
      <c r="D5" s="317"/>
    </row>
    <row r="6" spans="1:7" ht="13.5" customHeight="1" x14ac:dyDescent="0.2">
      <c r="A6" s="1265" t="s">
        <v>1831</v>
      </c>
      <c r="C6" s="317"/>
      <c r="D6" s="317"/>
    </row>
    <row r="7" spans="1:7" ht="60.95" customHeight="1" x14ac:dyDescent="0.2">
      <c r="A7" s="2441" t="s">
        <v>1832</v>
      </c>
      <c r="B7" s="2441"/>
      <c r="C7" s="2441"/>
      <c r="D7" s="2441"/>
      <c r="E7" s="2441"/>
      <c r="F7" s="2441"/>
    </row>
    <row r="8" spans="1:7" ht="12" customHeight="1" x14ac:dyDescent="0.2">
      <c r="A8" s="1265"/>
      <c r="B8" s="1271"/>
      <c r="C8" s="1271"/>
      <c r="D8" s="1271"/>
    </row>
    <row r="9" spans="1:7" ht="15" customHeight="1" x14ac:dyDescent="0.2">
      <c r="A9" s="1266" t="s">
        <v>1833</v>
      </c>
      <c r="B9" s="1269"/>
      <c r="C9" s="1269"/>
      <c r="D9" s="1269"/>
      <c r="E9" s="1267"/>
      <c r="F9" s="1267"/>
      <c r="G9" s="1267"/>
    </row>
    <row r="10" spans="1:7" ht="15" customHeight="1" x14ac:dyDescent="0.2">
      <c r="A10" s="1268" t="s">
        <v>1628</v>
      </c>
      <c r="B10" s="1269"/>
      <c r="C10" s="1270"/>
      <c r="D10" s="1269" t="s">
        <v>1629</v>
      </c>
      <c r="E10" s="1270"/>
      <c r="F10" s="1269" t="s">
        <v>101</v>
      </c>
      <c r="G10" s="1267"/>
    </row>
    <row r="11" spans="1:7" ht="12" customHeight="1" x14ac:dyDescent="0.2">
      <c r="A11" s="1268"/>
      <c r="B11" s="1269"/>
      <c r="C11" s="1916"/>
      <c r="D11" s="1269"/>
      <c r="E11" s="1916"/>
      <c r="F11" s="1269"/>
      <c r="G11" s="1267"/>
    </row>
    <row r="12" spans="1:7" x14ac:dyDescent="0.2">
      <c r="A12" s="1265" t="s">
        <v>1669</v>
      </c>
      <c r="C12" s="1249"/>
      <c r="D12" s="1249"/>
    </row>
    <row r="13" spans="1:7" ht="15" customHeight="1" x14ac:dyDescent="0.2">
      <c r="A13" s="2441" t="s">
        <v>1834</v>
      </c>
      <c r="B13" s="2441"/>
      <c r="C13" s="2441"/>
      <c r="D13" s="2441"/>
      <c r="E13" s="2441"/>
      <c r="F13" s="2441"/>
    </row>
    <row r="14" spans="1:7" ht="9.75" customHeight="1" x14ac:dyDescent="0.2">
      <c r="C14" s="1249"/>
      <c r="D14" s="1249"/>
    </row>
    <row r="15" spans="1:7" ht="13.5" customHeight="1" x14ac:dyDescent="0.2">
      <c r="C15" s="1860" t="s">
        <v>1332</v>
      </c>
      <c r="D15" s="2447" t="s">
        <v>1331</v>
      </c>
      <c r="E15" s="2447"/>
      <c r="F15" s="2447"/>
    </row>
    <row r="16" spans="1:7" ht="13.5" customHeight="1" x14ac:dyDescent="0.2">
      <c r="A16" s="1271"/>
      <c r="B16" s="1265" t="s">
        <v>1330</v>
      </c>
      <c r="C16" s="1860" t="s">
        <v>1329</v>
      </c>
      <c r="D16" s="2448" t="s">
        <v>1670</v>
      </c>
      <c r="E16" s="2448"/>
      <c r="F16" s="2448"/>
    </row>
    <row r="17" spans="1:6" ht="20.45" customHeight="1" x14ac:dyDescent="0.2">
      <c r="A17" s="1272"/>
      <c r="B17" s="1273"/>
      <c r="C17" s="1274"/>
      <c r="D17" s="2446"/>
      <c r="E17" s="2446"/>
      <c r="F17" s="2446"/>
    </row>
    <row r="18" spans="1:6" ht="20.65" customHeight="1" x14ac:dyDescent="0.2">
      <c r="A18" s="1272"/>
      <c r="B18" s="1273"/>
      <c r="C18" s="1274"/>
      <c r="D18" s="2446"/>
      <c r="E18" s="2446"/>
      <c r="F18" s="2446"/>
    </row>
    <row r="19" spans="1:6" ht="20.65" customHeight="1" x14ac:dyDescent="0.2">
      <c r="A19" s="1272"/>
      <c r="B19" s="1273"/>
      <c r="C19" s="1274"/>
      <c r="D19" s="2446"/>
      <c r="E19" s="2446"/>
      <c r="F19" s="2446"/>
    </row>
    <row r="20" spans="1:6" ht="20.65" customHeight="1" x14ac:dyDescent="0.2">
      <c r="A20" s="1272"/>
      <c r="B20" s="1273"/>
      <c r="C20" s="1274"/>
      <c r="D20" s="2446"/>
      <c r="E20" s="2446"/>
      <c r="F20" s="2446"/>
    </row>
    <row r="21" spans="1:6" ht="20.65" customHeight="1" x14ac:dyDescent="0.2">
      <c r="A21" s="1272"/>
      <c r="B21" s="1273"/>
      <c r="C21" s="1274"/>
      <c r="D21" s="2446"/>
      <c r="E21" s="2446"/>
      <c r="F21" s="2446"/>
    </row>
    <row r="22" spans="1:6" ht="20.65" customHeight="1" x14ac:dyDescent="0.2">
      <c r="A22" s="1272"/>
      <c r="B22" s="1273"/>
      <c r="C22" s="1274"/>
      <c r="D22" s="2446"/>
      <c r="E22" s="2446"/>
      <c r="F22" s="2446"/>
    </row>
    <row r="23" spans="1:6" ht="20.65" customHeight="1" x14ac:dyDescent="0.2">
      <c r="A23" s="1272"/>
      <c r="B23" s="1273"/>
      <c r="C23" s="1274"/>
      <c r="D23" s="2446"/>
      <c r="E23" s="2446"/>
      <c r="F23" s="2446"/>
    </row>
    <row r="24" spans="1:6" ht="20.65" customHeight="1" x14ac:dyDescent="0.2">
      <c r="A24" s="1272"/>
      <c r="B24" s="1273"/>
      <c r="C24" s="1274"/>
      <c r="D24" s="2446"/>
      <c r="E24" s="2446"/>
      <c r="F24" s="2446"/>
    </row>
    <row r="25" spans="1:6" ht="20.65" customHeight="1" x14ac:dyDescent="0.2">
      <c r="A25" s="1272"/>
      <c r="B25" s="1273"/>
      <c r="C25" s="1274"/>
      <c r="D25" s="2446"/>
      <c r="E25" s="2446"/>
      <c r="F25" s="2446"/>
    </row>
    <row r="26" spans="1:6" ht="20.65" customHeight="1" x14ac:dyDescent="0.2">
      <c r="A26" s="1272"/>
      <c r="B26" s="1273"/>
      <c r="C26" s="1274"/>
      <c r="D26" s="2446"/>
      <c r="E26" s="2446"/>
      <c r="F26" s="2446"/>
    </row>
    <row r="27" spans="1:6" ht="20.65" customHeight="1" x14ac:dyDescent="0.2">
      <c r="A27" s="1272"/>
      <c r="B27" s="1273"/>
      <c r="C27" s="1274"/>
      <c r="D27" s="2446"/>
      <c r="E27" s="2446"/>
      <c r="F27" s="2446"/>
    </row>
    <row r="28" spans="1:6" ht="20.65" customHeight="1" x14ac:dyDescent="0.2">
      <c r="A28" s="1272"/>
      <c r="B28" s="1273"/>
      <c r="C28" s="1274"/>
      <c r="D28" s="2446"/>
      <c r="E28" s="2446"/>
      <c r="F28" s="2446"/>
    </row>
    <row r="29" spans="1:6" ht="20.65" customHeight="1" x14ac:dyDescent="0.2">
      <c r="A29" s="1272"/>
      <c r="B29" s="1273"/>
      <c r="C29" s="1274"/>
      <c r="D29" s="2446"/>
      <c r="E29" s="2446"/>
      <c r="F29" s="2446"/>
    </row>
    <row r="30" spans="1:6" ht="12" customHeight="1" x14ac:dyDescent="0.2">
      <c r="A30" s="328"/>
      <c r="B30" s="328"/>
      <c r="C30" s="1467"/>
      <c r="D30" s="1917"/>
      <c r="E30" s="1275"/>
    </row>
    <row r="31" spans="1:6" ht="12" customHeight="1" x14ac:dyDescent="0.2">
      <c r="A31" s="1276" t="s">
        <v>1630</v>
      </c>
      <c r="B31" s="328"/>
      <c r="C31" s="1467"/>
      <c r="D31" s="1917"/>
      <c r="E31" s="1275"/>
    </row>
    <row r="32" spans="1:6" ht="30" customHeight="1" x14ac:dyDescent="0.2">
      <c r="A32" s="2450" t="s">
        <v>1835</v>
      </c>
      <c r="B32" s="2450"/>
      <c r="C32" s="2450"/>
      <c r="D32" s="2450"/>
      <c r="E32" s="2450"/>
      <c r="F32" s="2450"/>
    </row>
    <row r="33" spans="1:6" ht="13.5" customHeight="1" x14ac:dyDescent="0.2">
      <c r="A33" s="328" t="s">
        <v>1509</v>
      </c>
      <c r="B33" s="328"/>
      <c r="C33" s="1277">
        <v>0</v>
      </c>
      <c r="D33" s="1917"/>
      <c r="E33" s="1275"/>
    </row>
    <row r="34" spans="1:6" ht="13.5" customHeight="1" x14ac:dyDescent="0.2">
      <c r="A34" s="328" t="s">
        <v>1949</v>
      </c>
      <c r="B34" s="328"/>
      <c r="C34" s="1278">
        <v>0</v>
      </c>
      <c r="D34" s="1917" t="s">
        <v>1671</v>
      </c>
      <c r="E34" s="2451">
        <f>+C33+C34</f>
        <v>0</v>
      </c>
      <c r="F34" s="2452"/>
    </row>
    <row r="35" spans="1:6" ht="12" customHeight="1" x14ac:dyDescent="0.2">
      <c r="A35" s="328"/>
      <c r="B35" s="328"/>
      <c r="C35" s="1918"/>
      <c r="D35" s="1917"/>
      <c r="E35" s="1279"/>
      <c r="F35" s="1280"/>
    </row>
    <row r="36" spans="1:6" ht="13.5" customHeight="1" x14ac:dyDescent="0.2">
      <c r="A36" s="1276" t="s">
        <v>1631</v>
      </c>
      <c r="B36" s="328"/>
      <c r="C36" s="1467"/>
      <c r="D36" s="1917"/>
      <c r="E36" s="1275"/>
    </row>
    <row r="37" spans="1:6" ht="14.25" customHeight="1" x14ac:dyDescent="0.2">
      <c r="A37" s="328" t="s">
        <v>1563</v>
      </c>
      <c r="B37" s="328"/>
      <c r="C37" s="1919"/>
      <c r="D37" s="1917"/>
      <c r="E37" s="1275"/>
    </row>
    <row r="38" spans="1:6" ht="14.25" customHeight="1" x14ac:dyDescent="0.2">
      <c r="A38" s="328"/>
      <c r="B38" s="328" t="s">
        <v>1510</v>
      </c>
      <c r="C38" s="1281"/>
      <c r="D38" s="1917"/>
      <c r="E38" s="1275"/>
    </row>
    <row r="39" spans="1:6" ht="14.25" customHeight="1" x14ac:dyDescent="0.2">
      <c r="A39" s="328"/>
      <c r="B39" s="328" t="s">
        <v>1511</v>
      </c>
      <c r="C39" s="1281"/>
      <c r="D39" s="1917"/>
      <c r="E39" s="1275"/>
    </row>
    <row r="40" spans="1:6" ht="14.25" customHeight="1" x14ac:dyDescent="0.2">
      <c r="A40" s="328"/>
      <c r="B40" s="328" t="s">
        <v>1512</v>
      </c>
      <c r="C40" s="1281"/>
      <c r="D40" s="1917"/>
      <c r="E40" s="1275"/>
    </row>
    <row r="41" spans="1:6" ht="14.25" customHeight="1" x14ac:dyDescent="0.2">
      <c r="A41" s="328"/>
      <c r="B41" s="328" t="s">
        <v>1513</v>
      </c>
      <c r="C41" s="1281"/>
      <c r="D41" s="1917"/>
      <c r="E41" s="1275"/>
    </row>
    <row r="42" spans="1:6" ht="14.25" customHeight="1" x14ac:dyDescent="0.2">
      <c r="A42" s="328" t="s">
        <v>1514</v>
      </c>
      <c r="B42" s="328"/>
      <c r="C42" s="1915"/>
      <c r="D42" s="1917"/>
      <c r="E42" s="1275"/>
    </row>
    <row r="43" spans="1:6" ht="14.25" customHeight="1" x14ac:dyDescent="0.2">
      <c r="A43" s="328" t="s">
        <v>1515</v>
      </c>
      <c r="B43" s="328"/>
      <c r="C43" s="1282"/>
      <c r="D43" s="1917"/>
      <c r="E43" s="1275"/>
    </row>
    <row r="44" spans="1:6" ht="14.25" customHeight="1" x14ac:dyDescent="0.2">
      <c r="A44" s="328"/>
      <c r="B44" s="328"/>
      <c r="C44" s="1919" t="s">
        <v>1516</v>
      </c>
      <c r="D44" s="1917"/>
      <c r="E44" s="1275"/>
    </row>
    <row r="45" spans="1:6" ht="13.5" customHeight="1" x14ac:dyDescent="0.2">
      <c r="B45" s="322"/>
      <c r="C45" s="1283"/>
      <c r="D45" s="1283"/>
    </row>
    <row r="46" spans="1:6" x14ac:dyDescent="0.2">
      <c r="A46" s="1284" t="s">
        <v>1836</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453" t="s">
        <v>1672</v>
      </c>
      <c r="C49" s="2453"/>
      <c r="D49" s="2453"/>
      <c r="E49" s="1388"/>
    </row>
    <row r="50" spans="1:5" s="1289" customFormat="1" ht="3.75" customHeight="1" x14ac:dyDescent="0.2">
      <c r="A50" s="1288"/>
      <c r="B50" s="1859"/>
      <c r="C50" s="1859"/>
      <c r="D50" s="1859"/>
      <c r="E50" s="1388"/>
    </row>
    <row r="51" spans="1:5" s="1289" customFormat="1" ht="20.25" customHeight="1" x14ac:dyDescent="0.2">
      <c r="A51" s="1290">
        <v>6</v>
      </c>
      <c r="B51" s="2449" t="s">
        <v>1632</v>
      </c>
      <c r="C51" s="2449"/>
      <c r="D51" s="2449"/>
    </row>
    <row r="52" spans="1:5" ht="14.25" customHeight="1" x14ac:dyDescent="0.2">
      <c r="A52" s="1290"/>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398" t="str">
        <f>'Single Audit Cover'!A7</f>
        <v>Valley Ed for Employment System</v>
      </c>
      <c r="C1" s="2454"/>
      <c r="D1" s="2454"/>
      <c r="E1" s="2454"/>
      <c r="F1" s="2454"/>
      <c r="G1" s="2454"/>
      <c r="H1" s="2454"/>
      <c r="I1" s="2454"/>
      <c r="J1" s="2454"/>
      <c r="K1" s="2454"/>
      <c r="L1" s="2454"/>
      <c r="M1" s="2454"/>
    </row>
    <row r="2" spans="2:14" ht="15" x14ac:dyDescent="0.2">
      <c r="B2" s="2443">
        <f>'Single Audit Cover'!E7</f>
        <v>31000000046</v>
      </c>
      <c r="C2" s="2443"/>
      <c r="D2" s="2443"/>
      <c r="E2" s="2443"/>
      <c r="F2" s="2443"/>
      <c r="G2" s="2443"/>
      <c r="H2" s="2443"/>
      <c r="I2" s="2443"/>
      <c r="J2" s="2443"/>
      <c r="K2" s="2443"/>
      <c r="L2" s="2443"/>
      <c r="M2" s="2443"/>
      <c r="N2" s="1291"/>
    </row>
    <row r="3" spans="2:14" ht="15" x14ac:dyDescent="0.2">
      <c r="B3" s="2455" t="s">
        <v>1281</v>
      </c>
      <c r="C3" s="2455"/>
      <c r="D3" s="2455"/>
      <c r="E3" s="2455"/>
      <c r="F3" s="2455"/>
      <c r="G3" s="2455"/>
      <c r="H3" s="2455"/>
      <c r="I3" s="2455"/>
      <c r="J3" s="2455"/>
      <c r="K3" s="2455"/>
      <c r="L3" s="2455"/>
      <c r="M3" s="2455"/>
      <c r="N3" s="1291"/>
    </row>
    <row r="4" spans="2:14" ht="15" x14ac:dyDescent="0.2">
      <c r="B4" s="2456" t="str">
        <f>'Single Audit Cover'!A4</f>
        <v>Year Ending June 30, 2018</v>
      </c>
      <c r="C4" s="2456"/>
      <c r="D4" s="2456"/>
      <c r="E4" s="2456"/>
      <c r="F4" s="2456"/>
      <c r="G4" s="2456"/>
      <c r="H4" s="2456"/>
      <c r="I4" s="2456"/>
      <c r="J4" s="2456"/>
      <c r="K4" s="2456"/>
      <c r="L4" s="2456"/>
      <c r="M4" s="2456"/>
      <c r="N4" s="1291"/>
    </row>
    <row r="6" spans="2:14" x14ac:dyDescent="0.2">
      <c r="B6" s="1292"/>
      <c r="C6" s="1293"/>
      <c r="D6" s="1294" t="s">
        <v>1327</v>
      </c>
      <c r="E6" s="1295" t="s">
        <v>548</v>
      </c>
      <c r="F6" s="1296"/>
      <c r="G6" s="1297" t="s">
        <v>1837</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6"/>
      <c r="C8" s="1302" t="s">
        <v>1326</v>
      </c>
      <c r="D8" s="1303" t="s">
        <v>1325</v>
      </c>
      <c r="E8" s="1311" t="s">
        <v>1324</v>
      </c>
      <c r="F8" s="1312" t="s">
        <v>1324</v>
      </c>
      <c r="G8" s="1313" t="s">
        <v>1324</v>
      </c>
      <c r="H8" s="1306" t="s">
        <v>1663</v>
      </c>
      <c r="I8" s="1308" t="s">
        <v>1324</v>
      </c>
      <c r="J8" s="1307" t="s">
        <v>1950</v>
      </c>
      <c r="K8" s="1308" t="s">
        <v>1323</v>
      </c>
      <c r="L8" s="1309" t="s">
        <v>1319</v>
      </c>
      <c r="M8" s="1310" t="s">
        <v>30</v>
      </c>
    </row>
    <row r="9" spans="2:14" ht="14.25" x14ac:dyDescent="0.2">
      <c r="B9" s="1314" t="s">
        <v>1321</v>
      </c>
      <c r="C9" s="1302" t="s">
        <v>1838</v>
      </c>
      <c r="D9" s="1303" t="s">
        <v>1839</v>
      </c>
      <c r="E9" s="1311" t="s">
        <v>1663</v>
      </c>
      <c r="F9" s="1312" t="s">
        <v>1950</v>
      </c>
      <c r="G9" s="1313" t="s">
        <v>1663</v>
      </c>
      <c r="H9" s="1306" t="s">
        <v>1664</v>
      </c>
      <c r="I9" s="1308" t="s">
        <v>1950</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1840</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1951</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1841</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1842</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1843</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1844</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Valley Ed for Employment System</v>
      </c>
      <c r="C1" s="2462"/>
      <c r="D1" s="2462"/>
      <c r="E1" s="2462"/>
      <c r="F1" s="2462"/>
      <c r="G1" s="2462"/>
      <c r="H1" s="2462"/>
      <c r="I1" s="2462"/>
      <c r="J1" s="1411"/>
    </row>
    <row r="2" spans="2:10" s="317" customFormat="1" ht="12.75" customHeight="1" x14ac:dyDescent="0.2">
      <c r="B2" s="2463">
        <f>'Single Audit Cover'!E7</f>
        <v>31000000046</v>
      </c>
      <c r="C2" s="2464"/>
      <c r="D2" s="2464"/>
      <c r="E2" s="2464"/>
      <c r="F2" s="2464"/>
      <c r="G2" s="2464"/>
      <c r="H2" s="2464"/>
      <c r="I2" s="2464"/>
      <c r="J2" s="1411"/>
    </row>
    <row r="3" spans="2:10" s="317" customFormat="1" ht="12.75" customHeight="1" x14ac:dyDescent="0.2">
      <c r="B3" s="2465" t="s">
        <v>1347</v>
      </c>
      <c r="C3" s="2466"/>
      <c r="D3" s="2466"/>
      <c r="E3" s="2466"/>
      <c r="F3" s="2466"/>
      <c r="G3" s="2466"/>
      <c r="H3" s="2466"/>
      <c r="I3" s="2466"/>
      <c r="J3" s="1412"/>
    </row>
    <row r="4" spans="2:10" s="317" customFormat="1" ht="12.75" customHeight="1" x14ac:dyDescent="0.2">
      <c r="B4" s="2465" t="str">
        <f>'Single Audit Cover'!A4</f>
        <v>Year Ending June 30, 2018</v>
      </c>
      <c r="C4" s="2466"/>
      <c r="D4" s="2466"/>
      <c r="E4" s="2466"/>
      <c r="F4" s="2466"/>
      <c r="G4" s="2466"/>
      <c r="H4" s="2466"/>
      <c r="I4" s="2466"/>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465" t="s">
        <v>1346</v>
      </c>
      <c r="C7" s="2466"/>
      <c r="D7" s="2466"/>
      <c r="E7" s="2466"/>
      <c r="F7" s="2466"/>
      <c r="G7" s="2466"/>
      <c r="H7" s="2466"/>
      <c r="I7" s="2466"/>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467"/>
      <c r="D11" s="2467"/>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c r="H27" s="1289" t="s">
        <v>1338</v>
      </c>
      <c r="I27" s="1289"/>
    </row>
    <row r="28" spans="2:9" s="317" customFormat="1" ht="12.75" customHeight="1" x14ac:dyDescent="0.2">
      <c r="B28" s="1357"/>
      <c r="C28" s="1271"/>
      <c r="E28" s="1247"/>
    </row>
    <row r="29" spans="2:9" s="317" customFormat="1" ht="12.75" customHeight="1" x14ac:dyDescent="0.2">
      <c r="B29" s="1357" t="s">
        <v>1337</v>
      </c>
      <c r="C29" s="1271"/>
      <c r="D29" s="2468"/>
      <c r="E29" s="2468"/>
      <c r="F29" s="2468"/>
      <c r="G29" s="2468"/>
      <c r="H29" s="2468"/>
      <c r="I29" s="2468"/>
    </row>
    <row r="30" spans="2:9" s="317" customFormat="1" x14ac:dyDescent="0.2">
      <c r="B30" s="1357"/>
      <c r="C30" s="322"/>
      <c r="D30" s="1422" t="s">
        <v>1851</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c r="H33" s="1289" t="s">
        <v>101</v>
      </c>
    </row>
    <row r="35" spans="2:9" x14ac:dyDescent="0.2">
      <c r="B35" s="1430" t="s">
        <v>1852</v>
      </c>
      <c r="C35" s="1431"/>
      <c r="D35" s="1256"/>
    </row>
    <row r="36" spans="2:9" ht="6" customHeight="1" x14ac:dyDescent="0.2">
      <c r="B36" s="1430"/>
      <c r="C36" s="1431"/>
      <c r="D36" s="1256"/>
    </row>
    <row r="37" spans="2:9" ht="17.25" customHeight="1" x14ac:dyDescent="0.2">
      <c r="B37" s="1432" t="s">
        <v>1853</v>
      </c>
      <c r="C37" s="2469" t="s">
        <v>1854</v>
      </c>
      <c r="D37" s="2470"/>
      <c r="E37" s="2470"/>
      <c r="F37" s="2471"/>
      <c r="G37" s="2469" t="s">
        <v>1674</v>
      </c>
      <c r="H37" s="2470"/>
      <c r="I37" s="2471"/>
    </row>
    <row r="38" spans="2:9" ht="16.5" customHeight="1" x14ac:dyDescent="0.2">
      <c r="B38" s="1433"/>
      <c r="C38" s="2457"/>
      <c r="D38" s="2458"/>
      <c r="E38" s="2458"/>
      <c r="F38" s="2459"/>
      <c r="G38" s="2472"/>
      <c r="H38" s="2473"/>
      <c r="I38" s="2474"/>
    </row>
    <row r="39" spans="2:9" ht="16.5" customHeight="1" x14ac:dyDescent="0.2">
      <c r="B39" s="1433"/>
      <c r="C39" s="2457"/>
      <c r="D39" s="2458"/>
      <c r="E39" s="2458"/>
      <c r="F39" s="2459"/>
      <c r="G39" s="2460"/>
      <c r="H39" s="2460"/>
      <c r="I39" s="2460"/>
    </row>
    <row r="40" spans="2:9" ht="16.5" customHeight="1" x14ac:dyDescent="0.2">
      <c r="B40" s="1433"/>
      <c r="C40" s="2457"/>
      <c r="D40" s="2458"/>
      <c r="E40" s="2458"/>
      <c r="F40" s="2459"/>
      <c r="G40" s="2460"/>
      <c r="H40" s="2460"/>
      <c r="I40" s="2460"/>
    </row>
    <row r="41" spans="2:9" ht="16.5" customHeight="1" x14ac:dyDescent="0.2">
      <c r="B41" s="1433"/>
      <c r="C41" s="2457"/>
      <c r="D41" s="2458"/>
      <c r="E41" s="2458"/>
      <c r="F41" s="2459"/>
      <c r="G41" s="2460"/>
      <c r="H41" s="2460"/>
      <c r="I41" s="2460"/>
    </row>
    <row r="42" spans="2:9" ht="16.5" customHeight="1" x14ac:dyDescent="0.2">
      <c r="B42" s="1433"/>
      <c r="C42" s="2457"/>
      <c r="D42" s="2458"/>
      <c r="E42" s="2458"/>
      <c r="F42" s="2459"/>
      <c r="G42" s="2460"/>
      <c r="H42" s="2460"/>
      <c r="I42" s="2460"/>
    </row>
    <row r="43" spans="2:9" ht="16.5" customHeight="1" x14ac:dyDescent="0.2">
      <c r="B43" s="1433"/>
      <c r="C43" s="2475" t="s">
        <v>1675</v>
      </c>
      <c r="D43" s="2476"/>
      <c r="E43" s="2476"/>
      <c r="F43" s="2477"/>
      <c r="G43" s="2478">
        <f>SUM(G38:I42)</f>
        <v>0</v>
      </c>
      <c r="H43" s="2478"/>
      <c r="I43" s="2478"/>
    </row>
    <row r="44" spans="2:9" ht="12.75" customHeight="1" x14ac:dyDescent="0.2"/>
    <row r="45" spans="2:9" ht="12.75" customHeight="1" x14ac:dyDescent="0.2">
      <c r="B45" s="1424" t="s">
        <v>1952</v>
      </c>
      <c r="D45" s="2479">
        <v>0</v>
      </c>
      <c r="E45" s="2480"/>
    </row>
    <row r="46" spans="2:9" ht="5.25" customHeight="1" x14ac:dyDescent="0.2">
      <c r="B46" s="1434"/>
      <c r="D46" s="1435"/>
      <c r="E46" s="1436"/>
    </row>
    <row r="47" spans="2:9" ht="12.75" customHeight="1" x14ac:dyDescent="0.2">
      <c r="B47" s="1289" t="s">
        <v>1676</v>
      </c>
      <c r="C47" s="1289"/>
      <c r="D47" s="1437" t="e">
        <f>+G43/D45</f>
        <v>#DIV/0!</v>
      </c>
      <c r="E47" s="1438"/>
      <c r="F47" s="1439"/>
      <c r="I47" s="1440"/>
    </row>
    <row r="48" spans="2:9" ht="9.9499999999999993" customHeight="1" x14ac:dyDescent="0.2"/>
    <row r="49" spans="1:9" x14ac:dyDescent="0.2">
      <c r="B49" s="1357" t="s">
        <v>1335</v>
      </c>
      <c r="C49" s="1271"/>
      <c r="D49" s="1271"/>
      <c r="E49" s="2481"/>
      <c r="F49" s="2481"/>
      <c r="G49" s="2481"/>
      <c r="H49" s="322"/>
    </row>
    <row r="51" spans="1:9" ht="13.5" customHeight="1" x14ac:dyDescent="0.2">
      <c r="B51" s="1357" t="s">
        <v>1334</v>
      </c>
      <c r="C51" s="1271"/>
      <c r="E51" s="1427"/>
      <c r="F51" s="1289" t="s">
        <v>940</v>
      </c>
      <c r="G51" s="1427"/>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1855</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1856</v>
      </c>
      <c r="C58" s="1453"/>
      <c r="D58" s="1453"/>
    </row>
    <row r="59" spans="1:9" s="1450" customFormat="1" ht="3.95" customHeight="1" x14ac:dyDescent="0.2">
      <c r="A59" s="1447"/>
      <c r="B59" s="1452"/>
      <c r="C59" s="1453"/>
      <c r="D59" s="1453"/>
    </row>
    <row r="60" spans="1:9" s="1450" customFormat="1" ht="13.5" customHeight="1" x14ac:dyDescent="0.2">
      <c r="A60" s="1447"/>
      <c r="B60" s="1452" t="s">
        <v>1857</v>
      </c>
      <c r="C60" s="1453"/>
      <c r="D60" s="1453"/>
    </row>
    <row r="61" spans="1:9" s="1450" customFormat="1" ht="3.95" customHeight="1" x14ac:dyDescent="0.2">
      <c r="A61" s="1447"/>
      <c r="B61" s="1452"/>
      <c r="C61" s="1453"/>
      <c r="D61" s="1453"/>
    </row>
    <row r="62" spans="1:9" s="1450" customFormat="1" ht="12.75" customHeight="1" x14ac:dyDescent="0.2">
      <c r="A62" s="1447"/>
      <c r="B62" s="1452" t="s">
        <v>1858</v>
      </c>
      <c r="C62" s="1453"/>
      <c r="D62" s="1453"/>
    </row>
    <row r="63" spans="1:9" s="1450" customFormat="1" ht="13.5" customHeight="1" x14ac:dyDescent="0.2">
      <c r="A63" s="1447"/>
      <c r="B63" s="1451" t="s">
        <v>1679</v>
      </c>
      <c r="C63" s="1447"/>
      <c r="D63" s="144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Valley Ed for Employment System</v>
      </c>
      <c r="C1" s="2461"/>
      <c r="D1" s="2461"/>
      <c r="E1" s="2461"/>
      <c r="F1" s="2461"/>
      <c r="G1" s="2461"/>
      <c r="H1" s="2461"/>
      <c r="I1" s="2461"/>
      <c r="J1" s="2461"/>
      <c r="K1" s="2461"/>
      <c r="L1" s="1363"/>
      <c r="M1" s="1363"/>
    </row>
    <row r="2" spans="1:13" ht="12" customHeight="1" x14ac:dyDescent="0.2">
      <c r="B2" s="2463">
        <f>'Single Audit Cover'!E7</f>
        <v>31000000046</v>
      </c>
      <c r="C2" s="2463"/>
      <c r="D2" s="2463"/>
      <c r="E2" s="2463"/>
      <c r="F2" s="2463"/>
      <c r="G2" s="2463"/>
      <c r="H2" s="2463"/>
      <c r="I2" s="2463"/>
      <c r="J2" s="2463"/>
      <c r="K2" s="2463"/>
      <c r="L2" s="1364"/>
      <c r="M2" s="1365"/>
    </row>
    <row r="3" spans="1:13" ht="10.35" customHeight="1" x14ac:dyDescent="0.2">
      <c r="B3" s="2484" t="s">
        <v>1347</v>
      </c>
      <c r="C3" s="2484"/>
      <c r="D3" s="2484"/>
      <c r="E3" s="2484"/>
      <c r="F3" s="2484"/>
      <c r="G3" s="2484"/>
      <c r="H3" s="2484"/>
      <c r="I3" s="2484"/>
      <c r="J3" s="2484"/>
      <c r="K3" s="2484"/>
      <c r="L3" s="1366"/>
      <c r="M3" s="1366"/>
    </row>
    <row r="4" spans="1:13" ht="14.25" customHeight="1" x14ac:dyDescent="0.2">
      <c r="B4" s="2485" t="str">
        <f>'Single Audit Cover'!A4</f>
        <v>Year Ending June 30, 2018</v>
      </c>
      <c r="C4" s="2485"/>
      <c r="D4" s="2485"/>
      <c r="E4" s="2485"/>
      <c r="F4" s="2485"/>
      <c r="G4" s="2485"/>
      <c r="H4" s="2485"/>
      <c r="I4" s="2485"/>
      <c r="J4" s="2485"/>
      <c r="K4" s="2485"/>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485" t="s">
        <v>1363</v>
      </c>
      <c r="C7" s="2485"/>
      <c r="D7" s="2486"/>
      <c r="E7" s="2486"/>
      <c r="F7" s="2486"/>
      <c r="G7" s="2486"/>
      <c r="H7" s="2486"/>
      <c r="I7" s="2486"/>
      <c r="J7" s="2486"/>
      <c r="K7" s="2486"/>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1845</v>
      </c>
      <c r="C10" s="1374" t="s">
        <v>1953</v>
      </c>
      <c r="D10" s="1375"/>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483"/>
      <c r="C14" s="2483"/>
      <c r="D14" s="2483"/>
      <c r="E14" s="2483"/>
      <c r="F14" s="2483"/>
      <c r="G14" s="2483"/>
      <c r="H14" s="2483"/>
      <c r="I14" s="2483"/>
      <c r="J14" s="2483"/>
      <c r="K14" s="2483"/>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483"/>
      <c r="C17" s="2483"/>
      <c r="D17" s="2483"/>
      <c r="E17" s="2483"/>
      <c r="F17" s="2483"/>
      <c r="G17" s="2483"/>
      <c r="H17" s="2483"/>
      <c r="I17" s="2483"/>
      <c r="J17" s="2483"/>
      <c r="K17" s="2483"/>
      <c r="L17" s="1370"/>
    </row>
    <row r="18" spans="2:12" ht="4.5" customHeight="1" x14ac:dyDescent="0.2">
      <c r="B18" s="1387"/>
      <c r="C18" s="1387"/>
      <c r="L18" s="1370"/>
    </row>
    <row r="19" spans="2:12" s="1271" customFormat="1" ht="13.5" customHeight="1" x14ac:dyDescent="0.2">
      <c r="B19" s="1382" t="s">
        <v>1846</v>
      </c>
      <c r="C19" s="1382"/>
      <c r="D19" s="1383"/>
      <c r="E19" s="1383"/>
      <c r="F19" s="1383"/>
      <c r="G19" s="1384"/>
      <c r="H19" s="1383"/>
      <c r="I19" s="1384"/>
      <c r="J19" s="1383"/>
      <c r="K19" s="1383"/>
      <c r="L19" s="1385"/>
    </row>
    <row r="20" spans="2:12" ht="45.75" customHeight="1" x14ac:dyDescent="0.2">
      <c r="B20" s="2487"/>
      <c r="C20" s="2487"/>
      <c r="D20" s="2483"/>
      <c r="E20" s="2483"/>
      <c r="F20" s="2483"/>
      <c r="G20" s="2483"/>
      <c r="H20" s="2483"/>
      <c r="I20" s="2483"/>
      <c r="J20" s="2483"/>
      <c r="K20" s="2483"/>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483"/>
      <c r="C23" s="2483"/>
      <c r="D23" s="2483"/>
      <c r="E23" s="2483"/>
      <c r="F23" s="2483"/>
      <c r="G23" s="2483"/>
      <c r="H23" s="2483"/>
      <c r="I23" s="2483"/>
      <c r="J23" s="2483"/>
      <c r="K23" s="2483"/>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483"/>
      <c r="C26" s="2483"/>
      <c r="D26" s="2483"/>
      <c r="E26" s="2483"/>
      <c r="F26" s="2483"/>
      <c r="G26" s="2483"/>
      <c r="H26" s="2483"/>
      <c r="I26" s="2483"/>
      <c r="J26" s="2483"/>
      <c r="K26" s="2483"/>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482"/>
      <c r="C29" s="2482"/>
      <c r="D29" s="2483"/>
      <c r="E29" s="2483"/>
      <c r="F29" s="2483"/>
      <c r="G29" s="2483"/>
      <c r="H29" s="2483"/>
      <c r="I29" s="2483"/>
      <c r="J29" s="2483"/>
      <c r="K29" s="2483"/>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1847</v>
      </c>
      <c r="C31" s="1392"/>
      <c r="D31" s="1367"/>
      <c r="E31" s="1368"/>
      <c r="F31" s="1368"/>
      <c r="G31" s="1369"/>
      <c r="H31" s="1368"/>
      <c r="I31" s="1369"/>
      <c r="J31" s="1368"/>
      <c r="K31" s="1368"/>
      <c r="L31" s="1370"/>
    </row>
    <row r="32" spans="2:12" s="322" customFormat="1" ht="44.25" customHeight="1" x14ac:dyDescent="0.2">
      <c r="B32" s="2482"/>
      <c r="C32" s="2482"/>
      <c r="D32" s="2483"/>
      <c r="E32" s="2483"/>
      <c r="F32" s="2483"/>
      <c r="G32" s="2483"/>
      <c r="H32" s="2483"/>
      <c r="I32" s="2483"/>
      <c r="J32" s="2483"/>
      <c r="K32" s="2483"/>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1848</v>
      </c>
      <c r="C35" s="1408"/>
      <c r="D35" s="322"/>
      <c r="E35" s="322"/>
      <c r="F35" s="322"/>
      <c r="L35" s="1370"/>
    </row>
    <row r="36" spans="1:13" ht="9.6" customHeight="1" x14ac:dyDescent="0.2">
      <c r="B36" s="1289" t="s">
        <v>1954</v>
      </c>
      <c r="C36" s="1289"/>
      <c r="L36" s="1370"/>
    </row>
    <row r="37" spans="1:13" ht="9.6" customHeight="1" x14ac:dyDescent="0.2">
      <c r="B37" s="1289" t="s">
        <v>1955</v>
      </c>
      <c r="C37" s="1289"/>
    </row>
    <row r="38" spans="1:13" ht="11.85" customHeight="1" x14ac:dyDescent="0.2">
      <c r="B38" s="1409" t="s">
        <v>1849</v>
      </c>
      <c r="C38" s="1409"/>
    </row>
    <row r="39" spans="1:13" ht="9.6" customHeight="1" x14ac:dyDescent="0.2">
      <c r="B39" s="1289" t="s">
        <v>1348</v>
      </c>
      <c r="C39" s="1289"/>
      <c r="M39" s="1410"/>
    </row>
    <row r="40" spans="1:13" ht="12.6" customHeight="1" x14ac:dyDescent="0.2">
      <c r="B40" s="1409" t="s">
        <v>1850</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9" zoomScale="110" zoomScaleNormal="110" workbookViewId="0">
      <selection activeCell="B35" sqref="B35:K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Valley Ed for Employment System</v>
      </c>
      <c r="C1" s="2488"/>
      <c r="D1" s="2488"/>
      <c r="E1" s="2488"/>
      <c r="F1" s="2488"/>
      <c r="G1" s="2488"/>
      <c r="H1" s="2488"/>
      <c r="I1" s="2488"/>
      <c r="J1" s="2488"/>
      <c r="K1" s="2488"/>
      <c r="L1" s="1454"/>
    </row>
    <row r="2" spans="1:12" ht="12.75" customHeight="1" x14ac:dyDescent="0.2">
      <c r="B2" s="2489">
        <f>'Single Audit Cover'!E7</f>
        <v>31000000046</v>
      </c>
      <c r="C2" s="2489"/>
      <c r="D2" s="2489"/>
      <c r="E2" s="2489"/>
      <c r="F2" s="2489"/>
      <c r="G2" s="2489"/>
      <c r="H2" s="2489"/>
      <c r="I2" s="2489"/>
      <c r="J2" s="2489"/>
      <c r="K2" s="2489"/>
      <c r="L2" s="1455"/>
    </row>
    <row r="3" spans="1:12" ht="12.75" customHeight="1" x14ac:dyDescent="0.2">
      <c r="B3" s="2484" t="s">
        <v>1347</v>
      </c>
      <c r="C3" s="2484"/>
      <c r="D3" s="2484"/>
      <c r="E3" s="2484"/>
      <c r="F3" s="2484"/>
      <c r="G3" s="2484"/>
      <c r="H3" s="2484"/>
      <c r="I3" s="2484"/>
      <c r="J3" s="2484"/>
      <c r="K3" s="2484"/>
      <c r="L3" s="1366"/>
    </row>
    <row r="4" spans="1:12" ht="12.75" customHeight="1" x14ac:dyDescent="0.2">
      <c r="B4" s="2484" t="str">
        <f>'Single Audit Cover'!A4</f>
        <v>Year Ending June 30, 2018</v>
      </c>
      <c r="C4" s="2484"/>
      <c r="D4" s="2484"/>
      <c r="E4" s="2484"/>
      <c r="F4" s="2484"/>
      <c r="G4" s="2484"/>
      <c r="H4" s="2484"/>
      <c r="I4" s="2484"/>
      <c r="J4" s="2484"/>
      <c r="K4" s="2484"/>
      <c r="L4" s="1366"/>
    </row>
    <row r="5" spans="1:12" ht="5.25" customHeight="1" x14ac:dyDescent="0.2">
      <c r="B5" s="1249" t="s">
        <v>1231</v>
      </c>
      <c r="C5" s="1249"/>
      <c r="L5" s="322"/>
    </row>
    <row r="6" spans="1:12" ht="30.75" customHeight="1" x14ac:dyDescent="0.2">
      <c r="A6" s="322"/>
      <c r="B6" s="2490" t="s">
        <v>1375</v>
      </c>
      <c r="C6" s="2490"/>
      <c r="D6" s="2490"/>
      <c r="E6" s="2490"/>
      <c r="F6" s="2490"/>
      <c r="G6" s="2490"/>
      <c r="H6" s="2490"/>
      <c r="I6" s="2490"/>
      <c r="J6" s="2490"/>
      <c r="K6" s="2490"/>
      <c r="L6" s="322"/>
    </row>
    <row r="7" spans="1:12" ht="4.5" customHeight="1" x14ac:dyDescent="0.2">
      <c r="B7" s="1368"/>
      <c r="C7" s="1368"/>
      <c r="D7" s="1368"/>
      <c r="E7" s="1368"/>
      <c r="F7" s="1368"/>
      <c r="G7" s="1369"/>
      <c r="H7" s="1368"/>
      <c r="I7" s="1369"/>
      <c r="J7" s="1368"/>
      <c r="K7" s="1368"/>
      <c r="L7" s="322"/>
    </row>
    <row r="8" spans="1:12" ht="13.5" customHeight="1" x14ac:dyDescent="0.2">
      <c r="B8" s="1376" t="s">
        <v>1859</v>
      </c>
      <c r="C8" s="1456" t="s">
        <v>1953</v>
      </c>
      <c r="D8" s="1457"/>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468"/>
      <c r="G12" s="2468"/>
      <c r="H12" s="2468"/>
      <c r="I12" s="2468"/>
      <c r="J12" s="2468"/>
      <c r="K12" s="2468"/>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491"/>
      <c r="E14" s="2491"/>
      <c r="F14" s="2491"/>
      <c r="H14" s="1464" t="s">
        <v>1370</v>
      </c>
      <c r="I14" s="2492"/>
      <c r="J14" s="2492"/>
      <c r="K14" s="2492"/>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492"/>
      <c r="E16" s="2492"/>
      <c r="F16" s="2492"/>
      <c r="G16" s="2492"/>
      <c r="H16" s="2492"/>
      <c r="I16" s="2492"/>
      <c r="J16" s="2492"/>
      <c r="K16" s="2492"/>
      <c r="L16" s="322"/>
    </row>
    <row r="17" spans="2:12" ht="13.5" customHeight="1" x14ac:dyDescent="0.2">
      <c r="B17" s="1376" t="s">
        <v>1368</v>
      </c>
      <c r="C17" s="1376"/>
      <c r="D17" s="2493"/>
      <c r="E17" s="2493"/>
      <c r="F17" s="2493"/>
      <c r="G17" s="2493"/>
      <c r="H17" s="2493"/>
      <c r="I17" s="2493"/>
      <c r="J17" s="2493"/>
      <c r="K17" s="2493"/>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483"/>
      <c r="C20" s="2483"/>
      <c r="D20" s="2483"/>
      <c r="E20" s="2483"/>
      <c r="F20" s="2483"/>
      <c r="G20" s="2483"/>
      <c r="H20" s="2483"/>
      <c r="I20" s="2483"/>
      <c r="J20" s="2483"/>
      <c r="K20" s="2483"/>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1860</v>
      </c>
      <c r="C22" s="1466"/>
      <c r="D22" s="322"/>
      <c r="E22" s="322"/>
      <c r="F22" s="322"/>
      <c r="G22" s="1372"/>
      <c r="H22" s="322"/>
      <c r="I22" s="1372"/>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1861</v>
      </c>
      <c r="C25" s="1466"/>
      <c r="D25" s="322"/>
      <c r="E25" s="322"/>
      <c r="F25" s="322"/>
      <c r="G25" s="1372"/>
      <c r="H25" s="322"/>
      <c r="I25" s="1372"/>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1862</v>
      </c>
      <c r="C28" s="1466"/>
      <c r="D28" s="322"/>
      <c r="E28" s="322"/>
      <c r="F28" s="322"/>
      <c r="G28" s="1372"/>
      <c r="H28" s="322"/>
      <c r="I28" s="1372"/>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1863</v>
      </c>
      <c r="C40" s="1392"/>
      <c r="D40" s="1367"/>
      <c r="E40" s="1368"/>
      <c r="F40" s="1368"/>
      <c r="G40" s="1369"/>
      <c r="H40" s="1368"/>
      <c r="I40" s="1369"/>
      <c r="J40" s="1368"/>
      <c r="K40" s="1368"/>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1864</v>
      </c>
      <c r="C48" s="1408"/>
      <c r="D48" s="322"/>
      <c r="E48" s="322"/>
      <c r="F48" s="322"/>
    </row>
    <row r="49" spans="2:3" s="317" customFormat="1" ht="10.5" customHeight="1" x14ac:dyDescent="0.2">
      <c r="B49" s="1409" t="s">
        <v>1865</v>
      </c>
      <c r="C49" s="1409"/>
    </row>
    <row r="50" spans="2:3" s="317" customFormat="1" ht="11.1" customHeight="1" x14ac:dyDescent="0.2">
      <c r="B50" s="1409" t="s">
        <v>1866</v>
      </c>
      <c r="C50" s="1409"/>
    </row>
    <row r="51" spans="2:3" s="317" customFormat="1" ht="11.1" customHeight="1" x14ac:dyDescent="0.2">
      <c r="B51" s="1409" t="s">
        <v>1867</v>
      </c>
      <c r="C51" s="1409"/>
    </row>
    <row r="52" spans="2:3" s="317" customFormat="1" ht="11.1" customHeight="1" x14ac:dyDescent="0.2">
      <c r="B52" s="1409" t="s">
        <v>1868</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461" t="str">
        <f>'Single Audit Cover'!A7</f>
        <v>Valley Ed for Employment System</v>
      </c>
      <c r="C1" s="2461"/>
      <c r="D1" s="2461"/>
      <c r="E1" s="1480"/>
    </row>
    <row r="2" spans="2:5" s="1271" customFormat="1" ht="12.75" customHeight="1" x14ac:dyDescent="0.2">
      <c r="B2" s="2463">
        <f>'Single Audit Cover'!E7</f>
        <v>31000000046</v>
      </c>
      <c r="C2" s="2463"/>
      <c r="D2" s="2463"/>
      <c r="E2" s="1481"/>
    </row>
    <row r="3" spans="2:5" ht="12.75" customHeight="1" x14ac:dyDescent="0.2">
      <c r="B3" s="2484" t="s">
        <v>1869</v>
      </c>
      <c r="C3" s="2484"/>
      <c r="D3" s="2484"/>
      <c r="E3" s="1263"/>
    </row>
    <row r="4" spans="2:5" s="1271" customFormat="1" ht="12.75" customHeight="1" x14ac:dyDescent="0.2">
      <c r="B4" s="2494" t="str">
        <f>'Single Audit Cover'!A4</f>
        <v>Year Ending June 30, 2018</v>
      </c>
      <c r="C4" s="2494"/>
      <c r="D4" s="2494"/>
      <c r="E4" s="1482"/>
    </row>
    <row r="5" spans="2:5" s="1271" customFormat="1" ht="40.15" customHeight="1" x14ac:dyDescent="0.2">
      <c r="B5" s="1483" t="s">
        <v>1870</v>
      </c>
      <c r="C5" s="328"/>
      <c r="D5" s="328"/>
      <c r="E5" s="328"/>
    </row>
    <row r="6" spans="2:5" s="1271" customFormat="1" ht="13.5" customHeight="1" x14ac:dyDescent="0.2">
      <c r="B6" s="1484" t="s">
        <v>1382</v>
      </c>
      <c r="C6" s="1484" t="s">
        <v>1381</v>
      </c>
      <c r="D6" s="1484" t="s">
        <v>1871</v>
      </c>
    </row>
    <row r="7" spans="2:5" ht="13.5" customHeight="1" x14ac:dyDescent="0.2">
      <c r="B7" s="1485"/>
      <c r="C7" s="324"/>
      <c r="D7" s="324"/>
      <c r="E7" s="324"/>
    </row>
    <row r="8" spans="2:5" ht="13.5" customHeight="1" x14ac:dyDescent="0.2">
      <c r="B8" s="1485"/>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1872</v>
      </c>
    </row>
    <row r="46" spans="2:5" ht="12.2" customHeight="1" x14ac:dyDescent="0.2">
      <c r="B46" s="1494" t="s">
        <v>1873</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d21dc803-237d-4c68-8692-8d731fd29118"/>
    <ds:schemaRef ds:uri="http://www.w3.org/XML/1998/namespace"/>
    <ds:schemaRef ds:uri="http://purl.org/dc/dcmitype/"/>
    <ds:schemaRef ds:uri="http://purl.org/dc/elements/1.1/"/>
    <ds:schemaRef ds:uri="6ce3111e-7420-4802-b50a-75d4e9a0b980"/>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2018-09-07T13:32:03Z</cp:lastPrinted>
  <dcterms:created xsi:type="dcterms:W3CDTF">2003-10-29T19:06:34Z</dcterms:created>
  <dcterms:modified xsi:type="dcterms:W3CDTF">2018-10-16T15:11:30Z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Valley Education for Employment System</vt:lpwstr>
  </property>
  <property fmtid="{D5CDD505-2E9C-101B-9397-08002B2CF9AE}" pid="6" name="PPC_Template_Engagement_Date">
    <vt:lpwstr>6/30/2018</vt:lpwstr>
  </property>
</Properties>
</file>