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1" sheetId="179" r:id="rId28"/>
    <sheet name="SEFA-2" sheetId="183" r:id="rId29"/>
    <sheet name="SEFA-3" sheetId="184" r:id="rId30"/>
    <sheet name="SEFA NOTES 1" sheetId="173" r:id="rId31"/>
    <sheet name="SEFA NOTES 2" sheetId="185" r:id="rId32"/>
    <sheet name="SF&amp;QC Sec-1" sheetId="174" r:id="rId33"/>
    <sheet name="SF&amp;QC Sec-2" sheetId="175" r:id="rId34"/>
    <sheet name="SF&amp;QC Sec-3" sheetId="176" r:id="rId35"/>
    <sheet name="SSPAF" sheetId="177" r:id="rId36"/>
  </sheets>
  <definedNames>
    <definedName name="_xlnm.Print_Area" localSheetId="27">' SEFA-1'!$B$1:$M$46</definedName>
    <definedName name="_xlnm.Print_Area" localSheetId="30">'SEFA NOTES 1'!$A$1:$F$52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4" i="185" l="1"/>
  <c r="A4" i="185"/>
  <c r="M18" i="184" l="1"/>
  <c r="M20" i="184" s="1"/>
  <c r="K18" i="184"/>
  <c r="K20" i="184" s="1"/>
  <c r="J18" i="184"/>
  <c r="J20" i="184" s="1"/>
  <c r="I18" i="184"/>
  <c r="I20" i="184" s="1"/>
  <c r="H18" i="184"/>
  <c r="H20" i="184" s="1"/>
  <c r="G18" i="184"/>
  <c r="G20" i="184" s="1"/>
  <c r="F18" i="184"/>
  <c r="F20" i="184" s="1"/>
  <c r="E18" i="184"/>
  <c r="E20" i="184" s="1"/>
  <c r="M20" i="183"/>
  <c r="K20" i="183"/>
  <c r="J20" i="183"/>
  <c r="I20" i="183"/>
  <c r="H20" i="183"/>
  <c r="G20" i="183"/>
  <c r="F20" i="183"/>
  <c r="E20" i="183"/>
  <c r="M15" i="183"/>
  <c r="M22" i="183" s="1"/>
  <c r="M24" i="183" s="1"/>
  <c r="K15" i="183"/>
  <c r="K22" i="183" s="1"/>
  <c r="K24" i="183" s="1"/>
  <c r="J15" i="183"/>
  <c r="J22" i="183" s="1"/>
  <c r="J24" i="183" s="1"/>
  <c r="I15" i="183"/>
  <c r="I22" i="183" s="1"/>
  <c r="I24" i="183" s="1"/>
  <c r="H15" i="183"/>
  <c r="H22" i="183" s="1"/>
  <c r="H24" i="183" s="1"/>
  <c r="G15" i="183"/>
  <c r="G22" i="183" s="1"/>
  <c r="G24" i="183" s="1"/>
  <c r="F15" i="183"/>
  <c r="F22" i="183" s="1"/>
  <c r="F24" i="183" s="1"/>
  <c r="E15" i="183"/>
  <c r="E22" i="183" s="1"/>
  <c r="E24" i="183" s="1"/>
  <c r="M20" i="179"/>
  <c r="K20" i="179"/>
  <c r="J20" i="179"/>
  <c r="I20" i="179"/>
  <c r="H20" i="179"/>
  <c r="G20" i="179"/>
  <c r="F20" i="179"/>
  <c r="E20" i="179"/>
  <c r="M15" i="179"/>
  <c r="M22" i="179" s="1"/>
  <c r="M24" i="179" s="1"/>
  <c r="K15" i="179"/>
  <c r="K22" i="179" s="1"/>
  <c r="K24" i="179" s="1"/>
  <c r="J15" i="179"/>
  <c r="J22" i="179" s="1"/>
  <c r="J24" i="179" s="1"/>
  <c r="I15" i="179"/>
  <c r="I22" i="179" s="1"/>
  <c r="I24" i="179" s="1"/>
  <c r="H15" i="179"/>
  <c r="H22" i="179" s="1"/>
  <c r="H24" i="179" s="1"/>
  <c r="G15" i="179"/>
  <c r="G22" i="179" s="1"/>
  <c r="G24" i="179" s="1"/>
  <c r="F15" i="179"/>
  <c r="F22" i="179" s="1"/>
  <c r="F24" i="179" s="1"/>
  <c r="E15" i="179"/>
  <c r="E22" i="179" s="1"/>
  <c r="E24" i="179" s="1"/>
  <c r="G22" i="184" l="1"/>
  <c r="M22" i="184"/>
  <c r="K22" i="184"/>
  <c r="H22" i="184"/>
  <c r="E22" i="184"/>
  <c r="I22" i="184"/>
  <c r="J22" i="184"/>
  <c r="F22" i="184"/>
  <c r="L20" i="184"/>
  <c r="L18" i="184"/>
  <c r="L17" i="184"/>
  <c r="L16" i="184"/>
  <c r="L15" i="184"/>
  <c r="L14" i="184"/>
  <c r="L13" i="184"/>
  <c r="B4" i="184"/>
  <c r="L24" i="183"/>
  <c r="L22" i="183"/>
  <c r="L20" i="183"/>
  <c r="L19" i="183"/>
  <c r="L18" i="183"/>
  <c r="L15" i="183"/>
  <c r="L14" i="183"/>
  <c r="L13" i="183"/>
  <c r="B4" i="183"/>
  <c r="L22" i="184" l="1"/>
  <c r="F16" i="127"/>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4" i="179" l="1"/>
  <c r="L22" i="179"/>
  <c r="L20" i="179"/>
  <c r="L19" i="179"/>
  <c r="L18" i="179"/>
  <c r="L15" i="179"/>
  <c r="L14" i="179"/>
  <c r="L13" i="179"/>
  <c r="D14" i="171" l="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5" l="1"/>
  <c r="B1" i="183"/>
  <c r="B1" i="184"/>
  <c r="B2" i="179"/>
  <c r="A2" i="185"/>
  <c r="B2" i="183"/>
  <c r="B2" i="184"/>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s="1"/>
  <c r="B5106" i="106"/>
  <c r="D5106" i="106" s="1"/>
  <c r="B5107" i="106"/>
  <c r="D5107" i="106" s="1"/>
  <c r="B5108" i="106"/>
  <c r="D5108" i="106" s="1"/>
  <c r="B5109" i="106"/>
  <c r="D5109" i="106"/>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c r="B6309" i="106"/>
  <c r="D6309" i="106" s="1"/>
  <c r="B6310" i="106"/>
  <c r="D6310" i="106" s="1"/>
  <c r="B6311" i="106"/>
  <c r="D6311" i="106" s="1"/>
  <c r="B6312" i="106"/>
  <c r="D6312" i="106"/>
  <c r="B6313" i="106"/>
  <c r="D6313" i="106" s="1"/>
  <c r="B6314" i="106"/>
  <c r="D6314" i="106" s="1"/>
  <c r="B6315" i="106"/>
  <c r="D6315" i="106" s="1"/>
  <c r="B6316" i="106"/>
  <c r="D6316" i="106" s="1"/>
  <c r="B6317" i="106"/>
  <c r="D6317" i="106" s="1"/>
  <c r="B6319" i="106"/>
  <c r="D6319" i="106" s="1"/>
  <c r="B6320" i="106"/>
  <c r="D6320" i="106" s="1"/>
  <c r="B6321" i="106"/>
  <c r="D6321" i="106"/>
  <c r="B6322" i="106"/>
  <c r="D6322" i="106" s="1"/>
  <c r="B6323" i="106"/>
  <c r="D6323" i="106" s="1"/>
  <c r="B6324" i="106"/>
  <c r="D6324" i="106" s="1"/>
  <c r="B6325" i="106"/>
  <c r="D6325" i="106"/>
  <c r="B6326" i="106"/>
  <c r="D6326" i="106" s="1"/>
  <c r="B6327" i="106"/>
  <c r="D6327" i="106" s="1"/>
  <c r="B6328" i="106"/>
  <c r="D6328" i="106" s="1"/>
  <c r="B6329" i="106"/>
  <c r="D6329" i="106"/>
  <c r="B6330" i="106"/>
  <c r="D6330" i="106" s="1"/>
  <c r="B6331" i="106"/>
  <c r="D6331" i="106" s="1"/>
  <c r="B6332" i="106"/>
  <c r="D6332" i="106" s="1"/>
  <c r="B6333" i="106"/>
  <c r="D6333" i="106" s="1"/>
  <c r="B6334" i="106"/>
  <c r="D6334" i="106" s="1"/>
  <c r="B6335" i="106"/>
  <c r="D6335" i="106" s="1"/>
  <c r="B6336" i="106"/>
  <c r="D6336" i="106" s="1"/>
  <c r="B6337" i="106"/>
  <c r="D6337" i="106"/>
  <c r="B6338" i="106"/>
  <c r="D6338" i="106" s="1"/>
  <c r="B6339" i="106"/>
  <c r="D6339" i="106" s="1"/>
  <c r="B6340" i="106"/>
  <c r="D6340" i="106" s="1"/>
  <c r="B6341" i="106"/>
  <c r="D6341" i="106"/>
  <c r="B6342" i="106"/>
  <c r="D6342" i="106" s="1"/>
  <c r="B6343" i="106"/>
  <c r="D6343" i="106" s="1"/>
  <c r="B6344" i="106"/>
  <c r="D6344" i="106" s="1"/>
  <c r="B6345" i="106"/>
  <c r="D6345" i="106"/>
  <c r="B6346" i="106"/>
  <c r="D6346" i="106" s="1"/>
  <c r="B6347" i="106"/>
  <c r="D6347" i="106" s="1"/>
  <c r="B6348" i="106"/>
  <c r="D6348" i="106" s="1"/>
  <c r="B6349" i="106"/>
  <c r="D6349" i="106" s="1"/>
  <c r="B6350" i="106"/>
  <c r="D6350" i="106" s="1"/>
  <c r="B6353" i="106"/>
  <c r="D6353" i="106" s="1"/>
  <c r="B6354" i="106"/>
  <c r="D6354" i="106" s="1"/>
  <c r="B6355" i="106"/>
  <c r="D6355" i="106"/>
  <c r="B6356" i="106"/>
  <c r="D6356" i="106" s="1"/>
  <c r="B6358" i="106"/>
  <c r="D6358" i="106" s="1"/>
  <c r="B6359" i="106"/>
  <c r="D6359" i="106" s="1"/>
  <c r="B6360" i="106"/>
  <c r="D6360" i="106"/>
  <c r="B6361" i="106"/>
  <c r="D6361" i="106" s="1"/>
  <c r="B6362" i="106"/>
  <c r="D6362" i="106" s="1"/>
  <c r="B6363" i="106"/>
  <c r="D6363" i="106" s="1"/>
  <c r="B6364" i="106"/>
  <c r="D6364" i="106"/>
  <c r="B6365" i="106"/>
  <c r="D6365" i="106" s="1"/>
  <c r="B6366" i="106"/>
  <c r="D6366" i="106" s="1"/>
  <c r="B6367" i="106"/>
  <c r="D6367" i="106" s="1"/>
  <c r="B6368" i="106"/>
  <c r="D6368" i="106" s="1"/>
  <c r="B6369" i="106"/>
  <c r="D6369" i="106" s="1"/>
  <c r="B6370" i="106"/>
  <c r="D6370" i="106" s="1"/>
  <c r="B6371" i="106"/>
  <c r="D6371" i="106" s="1"/>
  <c r="B6372" i="106"/>
  <c r="D6372" i="106"/>
  <c r="B6373" i="106"/>
  <c r="D6373" i="106" s="1"/>
  <c r="B6374" i="106"/>
  <c r="D6374" i="106" s="1"/>
  <c r="B6375" i="106"/>
  <c r="D6375" i="106" s="1"/>
  <c r="B6376" i="106"/>
  <c r="D6376" i="106"/>
  <c r="B6377" i="106"/>
  <c r="D6377" i="106" s="1"/>
  <c r="B6378" i="106"/>
  <c r="D6378" i="106" s="1"/>
  <c r="B6379" i="106"/>
  <c r="D6379" i="106" s="1"/>
  <c r="B6380" i="106"/>
  <c r="D6380" i="106"/>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s="1"/>
  <c r="B6406" i="106"/>
  <c r="D6406" i="106" s="1"/>
  <c r="B6407" i="106"/>
  <c r="D6407" i="106"/>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c r="B6626" i="106"/>
  <c r="D6626" i="106" s="1"/>
  <c r="B6627" i="106"/>
  <c r="D6627" i="106" s="1"/>
  <c r="B6628" i="106"/>
  <c r="D6628" i="106" s="1"/>
  <c r="B6629" i="106"/>
  <c r="D6629" i="106"/>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5" i="127"/>
  <c r="B66"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L5" i="11"/>
  <c r="B2056" i="106" s="1"/>
  <c r="D2056" i="106" s="1"/>
  <c r="B5847" i="106"/>
  <c r="D5847" i="106" s="1"/>
  <c r="B1746" i="106"/>
  <c r="D1746" i="106" s="1"/>
  <c r="D11" i="7"/>
  <c r="B1768" i="106" s="1"/>
  <c r="D1768" i="106" s="1"/>
  <c r="D15" i="7"/>
  <c r="B1772" i="106" s="1"/>
  <c r="D1772" i="106" s="1"/>
  <c r="I274" i="5" l="1"/>
  <c r="J352" i="29"/>
  <c r="J367" i="29" s="1"/>
  <c r="B7245" i="106" s="1"/>
  <c r="D7245" i="106" s="1"/>
  <c r="F127" i="34"/>
  <c r="D6103" i="106"/>
  <c r="H109" i="5"/>
  <c r="B6025" i="106" s="1"/>
  <c r="D6025" i="106" s="1"/>
  <c r="F111" i="34"/>
  <c r="F36" i="34"/>
  <c r="H342" i="29"/>
  <c r="B7221" i="106" s="1"/>
  <c r="D7221" i="106" s="1"/>
  <c r="K41" i="3"/>
  <c r="H173" i="5"/>
  <c r="B5906" i="106" s="1"/>
  <c r="D5906" i="106" s="1"/>
  <c r="F131" i="34"/>
  <c r="G5" i="4"/>
  <c r="B3409" i="106" s="1"/>
  <c r="D3409" i="106" s="1"/>
  <c r="K274" i="5"/>
  <c r="D13" i="7"/>
  <c r="B3726" i="106" s="1"/>
  <c r="D3726" i="106" s="1"/>
  <c r="D5" i="4"/>
  <c r="B3406" i="106" s="1"/>
  <c r="D3406" i="106" s="1"/>
  <c r="D12" i="7"/>
  <c r="B1769" i="106" s="1"/>
  <c r="D1769" i="106" s="1"/>
  <c r="I173" i="5"/>
  <c r="B4216" i="106" s="1"/>
  <c r="D4216" i="106" s="1"/>
  <c r="G172" i="5"/>
  <c r="G173" i="5" s="1"/>
  <c r="D4" i="7"/>
  <c r="B1760" i="106" s="1"/>
  <c r="D1760" i="106" s="1"/>
  <c r="B6238" i="106"/>
  <c r="D6238" i="106" s="1"/>
  <c r="J77" i="4"/>
  <c r="B6262" i="106" s="1"/>
  <c r="D6262" i="106" s="1"/>
  <c r="E109" i="5"/>
  <c r="E4" i="4" s="1"/>
  <c r="B2630" i="106" s="1"/>
  <c r="D2630" i="106" s="1"/>
  <c r="L367" i="29"/>
  <c r="C342" i="29"/>
  <c r="B7216" i="106" s="1"/>
  <c r="D7216" i="106" s="1"/>
  <c r="K24" i="12"/>
  <c r="H76" i="4"/>
  <c r="B3298" i="106" s="1"/>
  <c r="D3298" i="106" s="1"/>
  <c r="F21" i="8"/>
  <c r="G15" i="145"/>
  <c r="L15" i="11"/>
  <c r="B3459" i="106" s="1"/>
  <c r="D3459" i="106" s="1"/>
  <c r="L13" i="11"/>
  <c r="B2060" i="106" s="1"/>
  <c r="D2060" i="106" s="1"/>
  <c r="C109" i="5"/>
  <c r="B5121" i="106" s="1"/>
  <c r="D5121" i="106" s="1"/>
  <c r="B5770" i="106"/>
  <c r="D5770" i="106" s="1"/>
  <c r="D17" i="7"/>
  <c r="B4104" i="106" s="1"/>
  <c r="D4104" i="106" s="1"/>
  <c r="F106" i="34"/>
  <c r="B5752" i="106"/>
  <c r="D5752" i="106" s="1"/>
  <c r="F128" i="34"/>
  <c r="H33" i="118"/>
  <c r="J274" i="5"/>
  <c r="B7054" i="106" s="1"/>
  <c r="D7054" i="106" s="1"/>
  <c r="I342" i="29"/>
  <c r="B7222" i="106" s="1"/>
  <c r="D7222" i="106" s="1"/>
  <c r="B3621" i="106"/>
  <c r="D3621" i="106" s="1"/>
  <c r="C367" i="29"/>
  <c r="C129" i="29"/>
  <c r="B1225" i="106" s="1"/>
  <c r="D1225" i="106" s="1"/>
  <c r="B1223" i="106"/>
  <c r="D1223" i="106" s="1"/>
  <c r="B1053" i="106"/>
  <c r="D1053" i="106" s="1"/>
  <c r="H112" i="29"/>
  <c r="B7018" i="106" s="1"/>
  <c r="D7018" i="106" s="1"/>
  <c r="H4" i="4"/>
  <c r="B2655" i="106" s="1"/>
  <c r="D2655" i="106" s="1"/>
  <c r="D109" i="5"/>
  <c r="F130" i="34"/>
  <c r="D9" i="7"/>
  <c r="B1767" i="106" s="1"/>
  <c r="D1767" i="106" s="1"/>
  <c r="K28" i="118"/>
  <c r="O27" i="118" s="1"/>
  <c r="O29" i="118" s="1"/>
  <c r="B5232" i="106"/>
  <c r="D5232" i="106" s="1"/>
  <c r="G109" i="5"/>
  <c r="B5066" i="106"/>
  <c r="D5066" i="106" s="1"/>
  <c r="L342" i="29"/>
  <c r="F34" i="34"/>
  <c r="B7235" i="106"/>
  <c r="D7235" i="106" s="1"/>
  <c r="J41" i="3"/>
  <c r="B3669" i="106"/>
  <c r="D3669" i="106" s="1"/>
  <c r="K350" i="29"/>
  <c r="H6" i="4"/>
  <c r="B2656" i="106" s="1"/>
  <c r="D2656" i="106" s="1"/>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D274" i="5"/>
  <c r="B3447" i="106"/>
  <c r="D3447" i="106" s="1"/>
  <c r="B7270" i="106"/>
  <c r="H8" i="4" l="1"/>
  <c r="D7252" i="106"/>
  <c r="B3568" i="106"/>
  <c r="D3568" i="106" s="1"/>
  <c r="D52" i="36"/>
  <c r="B5778" i="106"/>
  <c r="D5778" i="106" s="1"/>
  <c r="G6" i="4"/>
  <c r="B2604" i="106" s="1"/>
  <c r="D2604" i="106" s="1"/>
  <c r="D19" i="7"/>
  <c r="B1775" i="106" s="1"/>
  <c r="D1775" i="106" s="1"/>
  <c r="B1879" i="106"/>
  <c r="D1879" i="106" s="1"/>
  <c r="H22" i="37"/>
  <c r="B7733" i="106"/>
  <c r="D7733" i="106" s="1"/>
  <c r="K26" i="12"/>
  <c r="B7743" i="106" s="1"/>
  <c r="D7743" i="106" s="1"/>
  <c r="D7256" i="106"/>
  <c r="D7251" i="106"/>
  <c r="L114" i="29"/>
  <c r="C114" i="29"/>
  <c r="B757" i="106" s="1"/>
  <c r="D757" i="106" s="1"/>
  <c r="C4" i="4"/>
  <c r="B2551" i="106" s="1"/>
  <c r="D2551" i="106" s="1"/>
  <c r="I26" i="12"/>
  <c r="B7741" i="106" s="1"/>
  <c r="D7741" i="106" s="1"/>
  <c r="B1996" i="106"/>
  <c r="D1996" i="106" s="1"/>
  <c r="B5214" i="106"/>
  <c r="D5214" i="106" s="1"/>
  <c r="C173" i="5"/>
  <c r="B3628" i="106"/>
  <c r="D3628" i="106" s="1"/>
  <c r="C151" i="29"/>
  <c r="B1226" i="106" s="1"/>
  <c r="D1226" i="106" s="1"/>
  <c r="B1317" i="106"/>
  <c r="D1317" i="106" s="1"/>
  <c r="F274" i="5"/>
  <c r="F7" i="4" s="1"/>
  <c r="B2594" i="106" s="1"/>
  <c r="D2594" i="106" s="1"/>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6222" i="106"/>
  <c r="D6222" i="106" s="1"/>
  <c r="B2658" i="106"/>
  <c r="D2658" i="106" s="1"/>
  <c r="H10" i="4"/>
  <c r="B4127" i="106" s="1"/>
  <c r="D4127" i="106" s="1"/>
  <c r="D7" i="4"/>
  <c r="B5507" i="106"/>
  <c r="D5507" i="106" s="1"/>
  <c r="B7298" i="106"/>
  <c r="B7299" i="106"/>
  <c r="J8" i="4" l="1"/>
  <c r="G41" i="108"/>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G44" i="108"/>
  <c r="G45" i="108"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3" i="106" l="1"/>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0" i="4" l="1"/>
  <c r="B4125" i="106" s="1"/>
  <c r="D4125" i="106" s="1"/>
  <c r="B2595" i="106"/>
  <c r="D2595" i="106" s="1"/>
  <c r="D8" i="146"/>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<sst xmlns="http://schemas.openxmlformats.org/spreadsheetml/2006/main" count="5248" uniqueCount="2166">
  <si>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</si>
  <si>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</si>
  <si>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</si>
  <si>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</si>
  <si>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</si>
  <si>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</si>
  <si>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</si>
  <si>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</si>
  <si>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</si>
  <si>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</si>
  <si>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</si>
  <si>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</si>
  <si>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</si>
  <si>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</si>
  <si>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</si>
  <si>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</si>
  <si>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</si>
  <si>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</si>
  <si>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</si>
  <si>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</si>
  <si>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</si>
  <si>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</si>
  <si>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</si>
  <si>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</si>
  <si>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</si>
  <si>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</si>
  <si>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</si>
  <si>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</si>
  <si>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</si>
  <si>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</si>
  <si>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</si>
  <si>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</si>
  <si>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</si>
  <si>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</si>
  <si>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</si>
  <si>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</si>
  <si>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</si>
  <si>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</si>
  <si>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</si>
  <si>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</si>
  <si>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</si>
  <si>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</si>
  <si>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</si>
  <si>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</si>
  <si>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</si>
  <si>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</si>
  <si>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</si>
  <si>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</si>
  <si>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</si>
  <si>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</si>
  <si>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</si>
  <si>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</si>
  <si>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</si>
  <si>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</si>
  <si>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</si>
  <si>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</si>
  <si>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</si>
  <si>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</si>
  <si>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</si>
  <si>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</si>
  <si>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</si>
  <si>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</si>
  <si>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</si>
  <si>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</si>
  <si>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</si>
  <si>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</si>
  <si>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</si>
  <si>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</si>
  <si>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</si>
  <si>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</si>
  <si>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</si>
  <si>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</si>
  <si>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</si>
  <si>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</si>
  <si>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</si>
  <si>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</si>
  <si>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</si>
  <si>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</si>
  <si>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</si>
  <si>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</si>
  <si>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</si>
  <si>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</si>
  <si>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</si>
  <si>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</si>
  <si>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</si>
  <si>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</si>
  <si>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</si>
  <si>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</si>
  <si>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</si>
  <si>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</si>
  <si>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</si>
  <si>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</si>
  <si>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</si>
  <si>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</si>
  <si>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</si>
  <si>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</si>
  <si>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</si>
  <si>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</si>
  <si>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</si>
  <si>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</si>
  <si>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</si>
  <si>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</si>
  <si>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</si>
  <si>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</si>
  <si>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</si>
  <si>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</si>
  <si>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</si>
  <si>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</si>
  <si>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</si>
  <si>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</si>
  <si>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</si>
  <si>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</si>
  <si>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</si>
  <si>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</si>
  <si>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</si>
  <si>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</si>
  <si>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</si>
  <si>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</si>
  <si>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</si>
  <si>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</si>
  <si>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</si>
  <si>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</si>
  <si>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</si>
  <si>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</si>
  <si>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</si>
  <si>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</si>
  <si>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</si>
  <si>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</si>
  <si>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</si>
  <si>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</si>
  <si>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</si>
  <si>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</si>
  <si>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</si>
  <si>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</si>
  <si>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</si>
  <si>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</si>
  <si>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</si>
  <si>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</si>
  <si>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</si>
  <si>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</si>
  <si>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</si>
  <si>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</si>
  <si>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</si>
  <si>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</si>
  <si>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</si>
  <si>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</si>
  <si>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</si>
  <si>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</si>
  <si>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</si>
  <si>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</si>
  <si>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</si>
  <si>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</si>
  <si>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</si>
  <si>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</si>
  <si>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</si>
  <si>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</si>
  <si>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</si>
  <si>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</si>
  <si>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</si>
  <si>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</si>
  <si>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</si>
  <si>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</si>
  <si>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</si>
  <si>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</si>
  <si>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</si>
  <si>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</si>
  <si>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</si>
  <si>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</si>
  <si>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</si>
  <si>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</si>
  <si>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</si>
  <si>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</si>
  <si>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</si>
  <si>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</si>
  <si>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</si>
  <si>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</si>
  <si>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</si>
  <si>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</si>
  <si>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</si>
  <si>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</si>
  <si>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</si>
  <si>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</si>
  <si>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</si>
  <si>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</si>
  <si>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</si>
  <si>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</si>
  <si>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</si>
  <si>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</si>
  <si>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</si>
  <si>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</si>
  <si>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</si>
  <si>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</si>
  <si>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</si>
  <si>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</si>
  <si>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</si>
  <si>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</si>
  <si>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</si>
  <si>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</si>
  <si>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</si>
  <si>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</si>
  <si>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</si>
  <si>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</si>
  <si>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</si>
  <si>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</si>
  <si>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</si>
  <si>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</si>
  <si>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</si>
  <si>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</si>
  <si>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</si>
  <si>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</si>
  <si>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</si>
  <si>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</si>
  <si>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</si>
  <si>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</si>
  <si>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</si>
  <si>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</si>
  <si>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</si>
  <si>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</si>
  <si>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</si>
  <si>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</si>
  <si>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</si>
  <si>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</si>
  <si>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</si>
  <si>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</si>
  <si>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</si>
  <si>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</si>
  <si>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</si>
  <si>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</si>
  <si>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</si>
  <si>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</si>
  <si>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</si>
  <si>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</si>
  <si>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</si>
  <si>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</si>
  <si>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</si>
  <si>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</si>
  <si>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</si>
  <si>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</si>
  <si>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</si>
  <si>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</si>
  <si>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</si>
  <si>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</si>
  <si>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</si>
  <si>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</si>
  <si>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</si>
  <si>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</si>
  <si>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</si>
  <si>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</si>
  <si>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</si>
  <si>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</si>
  <si>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</si>
  <si>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</si>
  <si>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</si>
  <si>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</si>
  <si>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</si>
  <si>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</si>
  <si>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</si>
  <si>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</si>
  <si>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</si>
  <si>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</si>
  <si>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</si>
  <si>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</si>
  <si>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</si>
  <si>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</si>
  <si>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</si>
  <si>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</si>
  <si>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</si>
  <si>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</si>
  <si>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</si>
  <si>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</si>
  <si>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</si>
  <si>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</si>
  <si>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</si>
  <si>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</si>
  <si>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</si>
  <si>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</si>
  <si>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</si>
  <si>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</si>
  <si>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</si>
  <si>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</si>
  <si>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</si>
  <si>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</si>
  <si>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</si>
  <si>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</si>
  <si>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</si>
  <si>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</si>
  <si>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</si>
  <si>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</si>
  <si>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</si>
  <si>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</si>
  <si>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</si>
  <si>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</si>
  <si>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</si>
  <si>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</si>
  <si>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</si>
  <si>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</si>
  <si>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</si>
  <si>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</si>
  <si>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</si>
  <si>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</si>
  <si>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</si>
  <si>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</si>
  <si>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</si>
  <si>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</si>
  <si>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</si>
  <si>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</si>
  <si>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</si>
  <si>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</si>
  <si>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</si>
  <si>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</si>
  <si>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</si>
  <si>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</si>
  <si>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</si>
  <si>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</si>
  <si>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</si>
  <si>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</si>
  <si>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</si>
  <si>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</si>
  <si>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</si>
  <si>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</si>
  <si>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</si>
  <si>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</si>
  <si>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</si>
  <si>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</si>
  <si>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</si>
  <si>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</si>
  <si>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</si>
  <si>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</si>
  <si>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</si>
  <si>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</si>
  <si>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</si>
  <si>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</si>
  <si>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</si>
  <si>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</si>
  <si>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</si>
  <si>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</si>
  <si>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</si>
  <si>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</si>
  <si>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</si>
  <si>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</si>
  <si>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</si>
  <si>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</si>
  <si>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</si>
  <si>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</si>
  <si>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</si>
  <si>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</si>
  <si>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</si>
  <si>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</si>
  <si>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</si>
  <si>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</si>
  <si>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</si>
  <si>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</si>
  <si>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</si>
  <si>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</si>
  <si>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</si>
  <si>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</si>
  <si>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</si>
  <si>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</si>
  <si>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</si>
  <si>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</si>
  <si>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</si>
  <si>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</si>
  <si>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</si>
  <si>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</si>
  <si>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</si>
  <si>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</si>
  <si>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</si>
  <si>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</si>
  <si>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</si>
  <si>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</si>
  <si>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</si>
  <si>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</si>
  <si>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</si>
  <si>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</si>
  <si>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</si>
  <si>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</si>
  <si>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</si>
  <si>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</si>
  <si>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</si>
  <si>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</si>
  <si>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</si>
  <si>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</si>
  <si>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</si>
  <si>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</si>
  <si>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</si>
  <si>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</si>
  <si>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</si>
  <si>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</si>
  <si>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</si>
  <si>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</si>
  <si>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</si>
  <si>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</si>
  <si>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</si>
  <si>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</si>
  <si>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</si>
  <si>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</si>
  <si>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</si>
  <si>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</si>
  <si>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</si>
  <si>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</si>
  <si>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</si>
  <si>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</si>
  <si>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</si>
  <si>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</si>
  <si>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</si>
  <si>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</si>
  <si>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</si>
  <si>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</si>
  <si>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</si>
  <si>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</si>
  <si>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</si>
  <si>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</si>
  <si>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</si>
  <si>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</si>
  <si>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</si>
  <si>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</si>
  <si>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</si>
  <si>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</si>
  <si>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</si>
  <si>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</si>
  <si>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</si>
  <si>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</si>
  <si>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</si>
  <si>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</si>
  <si>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</si>
  <si>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</si>
  <si>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</si>
  <si>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</si>
  <si>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</si>
  <si>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</si>
  <si>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</si>
  <si>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</si>
  <si>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</si>
  <si>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</si>
  <si>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</si>
  <si>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</si>
  <si>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</si>
  <si>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</si>
  <si>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</si>
  <si>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</si>
  <si>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</si>
  <si>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</si>
  <si>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</si>
  <si>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</si>
  <si>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</si>
  <si>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</si>
  <si>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</si>
  <si>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</si>
  <si>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</si>
  <si>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</si>
  <si>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</si>
  <si>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</si>
  <si>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</si>
  <si>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</si>
  <si>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</si>
  <si>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</si>
  <si>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</si>
  <si>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</si>
  <si>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</si>
  <si>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</si>
  <si>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</si>
  <si>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</si>
  <si>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</si>
  <si>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</si>
  <si>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</si>
  <si>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</si>
  <si>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</si>
  <si>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</si>
  <si>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</si>
  <si>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</si>
  <si>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</si>
  <si>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</si>
  <si>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</si>
  <si>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</si>
  <si>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</si>
  <si>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</si>
  <si>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</si>
  <si>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</si>
  <si>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</si>
  <si>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</si>
  <si>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</si>
  <si>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</si>
  <si>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</si>
  <si>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</si>
  <si>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</si>
  <si>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</si>
  <si>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</si>
  <si>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</si>
  <si>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</si>
  <si>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</si>
  <si>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</si>
  <si>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</si>
  <si>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</si>
  <si>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</si>
  <si>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</si>
  <si>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</si>
  <si>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</si>
  <si>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</si>
  <si>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</si>
  <si>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</si>
  <si>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</si>
  <si>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</si>
  <si>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</si>
  <si>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</si>
  <si>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</si>
  <si>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</si>
  <si>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</si>
  <si>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</si>
  <si>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</si>
  <si>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</si>
  <si>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</si>
  <si>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</si>
  <si>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</si>
  <si>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</si>
  <si>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</si>
  <si>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</si>
  <si>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</si>
  <si>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</si>
  <si>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</si>
  <si>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</si>
  <si>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</si>
  <si>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</si>
  <si>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</si>
  <si>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</si>
  <si>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</si>
  <si>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</si>
  <si>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</si>
  <si>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</si>
  <si>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</si>
  <si>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</si>
  <si>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</si>
  <si>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</si>
  <si>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</si>
  <si>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</si>
  <si>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</si>
  <si>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</si>
  <si>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</si>
  <si>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</si>
  <si>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</si>
  <si>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</si>
  <si>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</si>
  <si>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</si>
  <si>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</si>
  <si>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</si>
  <si>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</si>
  <si>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</si>
  <si>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</si>
  <si>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</si>
  <si>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</si>
  <si>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</si>
  <si>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</si>
  <si>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</si>
  <si>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</si>
  <si>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</si>
  <si>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</si>
  <si>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</si>
  <si>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</si>
  <si>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</si>
  <si>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</si>
  <si>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</si>
  <si>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</si>
  <si>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</si>
  <si>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</si>
  <si>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</si>
  <si>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</si>
  <si>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</si>
  <si>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</si>
  <si>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</si>
  <si>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</si>
  <si>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</si>
  <si>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</si>
  <si>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</si>
  <si>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</si>
  <si>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</si>
  <si>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</si>
  <si>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</si>
  <si>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</si>
  <si>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</si>
  <si>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</si>
  <si>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</si>
  <si>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</si>
  <si>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</si>
  <si>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</si>
  <si>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</si>
  <si>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</si>
  <si>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</si>
  <si>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</si>
  <si>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</si>
  <si>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</si>
  <si>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</si>
  <si>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</si>
  <si>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</si>
  <si>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</si>
  <si>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</si>
  <si>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</si>
  <si>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</si>
  <si>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</si>
  <si>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</si>
  <si>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</si>
  <si>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</si>
  <si>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</si>
  <si>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</si>
  <si>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</si>
  <si>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</si>
  <si>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</si>
  <si>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</si>
  <si>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</si>
  <si>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</si>
  <si>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</si>
  <si>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</si>
  <si>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</si>
  <si>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</si>
  <si>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</si>
  <si>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</si>
  <si>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</si>
  <si>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</si>
  <si>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</si>
  <si>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</si>
  <si>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</si>
  <si>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</si>
  <si>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</si>
  <si>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</si>
  <si>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</si>
  <si>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</si>
  <si>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</si>
  <si>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</si>
  <si>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</si>
  <si>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</si>
  <si>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</si>
  <si>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</si>
  <si>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</si>
  <si>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</si>
  <si>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</si>
  <si>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</si>
  <si>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</si>
  <si>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</si>
  <si>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</si>
  <si>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</si>
  <si>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</si>
  <si>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</si>
  <si>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</si>
  <si>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</si>
  <si>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</si>
  <si>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</si>
  <si>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</si>
  <si>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</si>
  <si>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</si>
  <si>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</si>
  <si>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</si>
  <si>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</si>
  <si>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</si>
  <si>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</si>
  <si>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</si>
  <si>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</si>
  <si>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</si>
  <si>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</si>
  <si>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</si>
  <si>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</si>
  <si>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</si>
  <si>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</si>
  <si>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</si>
  <si>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</si>
  <si>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</si>
  <si>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</si>
  <si>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</si>
  <si>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</si>
  <si>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</si>
  <si>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</si>
  <si>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</si>
  <si>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</si>
  <si>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</si>
  <si>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</si>
  <si>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</si>
  <si>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</si>
  <si>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</si>
  <si>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</si>
  <si>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</si>
  <si>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</si>
  <si>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</si>
  <si>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</si>
  <si>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</si>
  <si>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</si>
  <si>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</si>
  <si>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</si>
  <si>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</si>
  <si>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</si>
  <si>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</si>
  <si>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</si>
  <si>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</si>
  <si>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</si>
  <si>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</si>
  <si>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</si>
  <si>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</si>
  <si>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</si>
  <si>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</si>
  <si>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</si>
  <si>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</si>
  <si>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</si>
  <si>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</si>
  <si>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</si>
  <si>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</si>
  <si>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</si>
  <si>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</si>
  <si>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</si>
  <si>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</si>
  <si>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</si>
  <si>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</si>
  <si>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</si>
  <si>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</si>
  <si>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</si>
  <si>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</si>
  <si>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</si>
  <si>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</si>
  <si>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</si>
  <si>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</si>
  <si>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</si>
  <si>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</si>
  <si>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</si>
  <si>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</si>
  <si>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</si>
  <si>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</si>
  <si>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</si>
  <si>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</si>
  <si>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</si>
  <si>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</si>
  <si>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</si>
  <si>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</si>
  <si>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</si>
  <si>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</si>
  <si>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</si>
  <si>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</si>
  <si>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</si>
  <si>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</si>
  <si>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</si>
  <si>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</si>
  <si>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</si>
  <si>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</si>
  <si>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</si>
  <si>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</si>
  <si>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</si>
  <si>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</si>
  <si>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</si>
  <si>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</si>
  <si>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</si>
  <si>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</si>
  <si>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</si>
  <si>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</si>
  <si>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</si>
  <si>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</si>
  <si>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</si>
  <si>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</si>
  <si>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</si>
  <si>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</si>
  <si>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</si>
  <si>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</si>
  <si>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</si>
  <si>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</si>
  <si>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</si>
  <si>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</si>
  <si>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</si>
  <si>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</si>
  <si>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</si>
  <si>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</si>
  <si>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</si>
  <si>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</si>
  <si>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</si>
  <si>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</si>
  <si>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</si>
  <si>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</si>
  <si>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</si>
  <si>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</si>
  <si>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</si>
  <si>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</si>
  <si>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</si>
  <si>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</si>
  <si>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</si>
  <si>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</si>
  <si>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</si>
  <si>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</si>
  <si>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</si>
  <si>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</si>
  <si>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</si>
  <si>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</si>
  <si>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</si>
  <si>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</si>
  <si>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</si>
  <si>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</si>
  <si>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</si>
  <si>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</si>
  <si>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</si>
  <si>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</si>
  <si>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</si>
  <si>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</si>
  <si>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</si>
  <si>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</si>
  <si>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</si>
  <si>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</si>
  <si>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</si>
  <si>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</si>
  <si>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</si>
  <si>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</si>
  <si>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</si>
  <si>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</si>
  <si>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</si>
  <si>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</si>
  <si>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</si>
  <si>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</si>
  <si>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</si>
  <si>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</si>
  <si>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</si>
  <si>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</si>
  <si>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</si>
  <si>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</si>
  <si>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</si>
  <si>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</si>
  <si>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</si>
  <si>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</si>
  <si>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</si>
  <si>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</si>
  <si>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</si>
  <si>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</si>
  <si>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</si>
  <si>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</si>
  <si>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</si>
  <si>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</si>
  <si>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</si>
  <si>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</si>
  <si>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</si>
  <si>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</si>
  <si>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</si>
  <si>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</si>
  <si>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</si>
  <si>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</si>
  <si>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</si>
  <si>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</si>
  <si>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</si>
  <si>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</si>
  <si>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</si>
  <si>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</si>
  <si>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</si>
  <si>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</si>
  <si>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</si>
  <si>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</si>
  <si>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</si>
  <si>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</si>
  <si>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</si>
  <si>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</si>
  <si>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</si>
  <si>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</si>
  <si>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</si>
  <si>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</si>
  <si>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</si>
  <si>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</si>
  <si>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</si>
  <si>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</si>
  <si>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</si>
  <si>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</si>
  <si>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</si>
  <si>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</si>
  <si>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</si>
  <si>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</si>
  <si>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</si>
  <si>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</si>
  <si>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</si>
  <si>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</si>
  <si>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</si>
  <si>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</si>
  <si>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</si>
  <si>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</si>
  <si>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</si>
  <si>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</si>
  <si>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</si>
  <si>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</si>
  <si>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</si>
  <si>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</si>
  <si>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</si>
  <si>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</si>
  <si>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</si>
  <si>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</si>
  <si>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</si>
  <si>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</si>
  <si>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</si>
  <si>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</si>
  <si>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</si>
  <si>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</si>
  <si>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</si>
  <si>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</si>
  <si>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</si>
  <si>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</si>
  <si>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</si>
  <si>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</si>
  <si>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</si>
  <si>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</si>
  <si>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</si>
  <si>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</si>
  <si>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</si>
  <si>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</si>
  <si>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</si>
  <si>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</si>
  <si>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</si>
  <si>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</si>
  <si>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</si>
  <si>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</si>
  <si>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</si>
  <si>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</si>
  <si>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</si>
  <si>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</si>
  <si>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</si>
  <si>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</si>
  <si>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</si>
  <si>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</si>
  <si>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</si>
  <si>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</si>
  <si>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</si>
  <si>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</si>
  <si>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</si>
  <si>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</si>
  <si>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</si>
  <si>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</si>
  <si>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</si>
  <si>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</si>
  <si>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</si>
  <si>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</si>
  <si>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</si>
  <si>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</si>
  <si>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</si>
  <si>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</si>
  <si>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</si>
  <si>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</si>
  <si>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</si>
  <si>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</si>
  <si>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</si>
  <si>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</si>
  <si>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</si>
  <si>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</si>
  <si>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</si>
  <si>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</si>
  <si>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</si>
  <si>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</si>
  <si>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</si>
  <si>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</si>
  <si>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</si>
  <si>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</si>
  <si>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</si>
  <si>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</si>
  <si>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</si>
  <si>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</si>
  <si>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</si>
  <si>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</si>
  <si>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</si>
  <si>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</si>
  <si>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</si>
  <si>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</si>
  <si>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</si>
  <si>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</si>
  <si>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</si>
  <si>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</si>
  <si>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</si>
  <si>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</si>
  <si>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</si>
  <si>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</si>
  <si>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</si>
  <si>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</si>
  <si>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</si>
  <si>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</si>
  <si>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</si>
  <si>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</si>
  <si>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</si>
  <si>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</si>
  <si>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</si>
  <si>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</si>
  <si>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</si>
  <si>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</si>
  <si>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</si>
  <si>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</si>
  <si>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</si>
  <si>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</si>
  <si>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</si>
  <si>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</si>
  <si>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</si>
  <si>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</si>
  <si>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</si>
  <si>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</si>
  <si>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</si>
  <si>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</si>
  <si>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</si>
  <si>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</si>
  <si>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</si>
  <si>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</si>
  <si>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</si>
  <si>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</si>
  <si>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</si>
  <si>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</si>
  <si>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</si>
  <si>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</si>
  <si>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</si>
  <si>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</si>
  <si>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</si>
  <si>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</si>
  <si>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</si>
  <si>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</si>
  <si>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</si>
  <si>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</si>
  <si>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</si>
  <si>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</si>
  <si>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</si>
  <si>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</si>
  <si>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</si>
  <si>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</si>
  <si>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</si>
  <si>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</si>
  <si>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</si>
  <si>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</si>
  <si>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</si>
  <si>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</si>
  <si>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</si>
  <si>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</si>
  <si>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</si>
  <si>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</si>
  <si>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</si>
  <si>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</si>
  <si>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</si>
  <si>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</si>
  <si>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</si>
  <si>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</si>
  <si>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</si>
  <si>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</si>
  <si>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</si>
  <si>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</si>
  <si>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</si>
  <si>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</si>
  <si>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</si>
  <si>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</si>
  <si>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</si>
  <si>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</si>
  <si>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</si>
  <si>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</si>
  <si>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</si>
  <si>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</si>
  <si>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</si>
  <si>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</si>
  <si>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</si>
  <si>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</si>
  <si>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</si>
  <si>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</si>
  <si>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</si>
  <si>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</si>
  <si>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</si>
  <si>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</si>
  <si>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</si>
  <si>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</si>
  <si>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</si>
  <si>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</si>
  <si>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</si>
  <si>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</si>
  <si>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</si>
  <si>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</si>
  <si>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</si>
  <si>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</si>
  <si>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</si>
  <si>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</si>
  <si>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</si>
  <si>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</si>
  <si>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</si>
  <si>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</si>
  <si>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</si>
  <si>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</si>
  <si>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</si>
  <si>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</si>
  <si>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</si>
  <si>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</si>
  <si>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</si>
  <si>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</si>
  <si>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</si>
  <si>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</si>
  <si>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</si>
  <si>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</si>
  <si>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</si>
  <si>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</si>
  <si>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</si>
  <si>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</si>
  <si>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</si>
  <si>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</si>
  <si>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</si>
  <si>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</si>
  <si>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</si>
  <si>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</si>
  <si>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</si>
  <si>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</si>
  <si>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</si>
  <si>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</si>
  <si>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</si>
  <si>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</si>
  <si>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</si>
  <si>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</si>
  <si>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</si>
  <si>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</si>
  <si>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</si>
  <si>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</si>
  <si>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</si>
  <si>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</si>
  <si>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</si>
  <si>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</si>
  <si>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</si>
  <si>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</si>
  <si>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</si>
  <si>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</si>
  <si>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</si>
  <si>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</si>
  <si>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</si>
  <si>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</si>
  <si>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</si>
  <si>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</si>
  <si>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</si>
  <si>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</si>
  <si>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</si>
  <si>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</si>
  <si>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</si>
  <si>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</si>
  <si>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</si>
  <si>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</si>
  <si>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</si>
  <si>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</si>
  <si>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</si>
  <si>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</si>
  <si>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</si>
  <si>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</si>
  <si>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</si>
  <si>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</si>
  <si>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</si>
  <si>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</si>
  <si>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</si>
  <si>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</si>
  <si>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</si>
  <si>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</si>
  <si>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</si>
  <si>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</si>
  <si>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</si>
  <si>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</si>
  <si>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</si>
  <si>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</si>
  <si>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</si>
  <si>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</si>
  <si>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</si>
  <si>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</si>
  <si>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</si>
  <si>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</si>
  <si>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</si>
  <si>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</si>
  <si>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</si>
  <si>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</si>
  <si>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</si>
  <si>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</si>
  <si>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</si>
  <si>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</si>
  <si>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</si>
  <si>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</si>
  <si>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</si>
  <si>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</si>
  <si>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</si>
  <si>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</si>
  <si>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</si>
  <si>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</si>
  <si>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</si>
  <si>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</si>
  <si>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</si>
  <si>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</si>
  <si>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</si>
  <si>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</si>
  <si>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</si>
  <si>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</si>
  <si>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</si>
  <si>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</si>
  <si>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</si>
  <si>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</si>
  <si>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</si>
  <si>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</si>
  <si>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</si>
  <si>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</si>
  <si>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</si>
  <si>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</si>
  <si>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</si>
  <si>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</si>
  <si>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</si>
  <si>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</si>
  <si>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</si>
  <si>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</si>
  <si>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</si>
  <si>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</si>
  <si>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</si>
  <si>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</si>
  <si>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</si>
  <si>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</si>
  <si>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</si>
  <si>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</si>
  <si>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</si>
  <si>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</si>
  <si>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</si>
  <si>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</si>
  <si>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</si>
  <si>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</si>
  <si>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</si>
  <si>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</si>
  <si>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</si>
  <si>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</si>
  <si>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</si>
  <si>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</si>
  <si>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</si>
  <si>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</si>
  <si>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</si>
  <si>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</si>
  <si>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</si>
  <si>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</si>
  <si>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</si>
  <si>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</si>
  <si>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</si>
  <si>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</si>
  <si>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</si>
  <si>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</si>
  <si>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</si>
  <si>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</si>
  <si>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</si>
  <si>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</si>
  <si>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</si>
  <si>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</si>
  <si>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</si>
  <si>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</si>
  <si>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</si>
  <si>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</si>
  <si>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</si>
  <si>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</si>
  <si>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</si>
  <si>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</si>
  <si>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</si>
  <si>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</si>
  <si>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</si>
  <si>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</si>
  <si>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</si>
  <si>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</si>
  <si>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</si>
  <si>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</si>
  <si>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</si>
  <si>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</si>
  <si>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</si>
  <si>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</si>
  <si>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</si>
  <si>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</si>
  <si>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</si>
  <si>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</si>
  <si>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</si>
  <si>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</si>
  <si>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</si>
  <si>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</si>
  <si>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</si>
  <si>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</si>
  <si>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</si>
  <si>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</si>
  <si>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</si>
  <si>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</si>
  <si>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</si>
  <si>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</si>
  <si>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</si>
  <si>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</si>
  <si>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</si>
  <si>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</si>
  <si>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</si>
  <si>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</si>
  <si>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</si>
  <si>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</si>
  <si>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</si>
  <si>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</si>
  <si>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</si>
  <si>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</si>
  <si>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</si>
  <si>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</si>
  <si>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</si>
  <si>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</si>
  <si>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</si>
  <si>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</si>
  <si>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</si>
  <si>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</si>
  <si>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</si>
  <si>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</si>
  <si>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</si>
  <si>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</si>
  <si>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</si>
  <si>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</si>
  <si>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</si>
  <si>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</si>
  <si>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</si>
  <si>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</si>
  <si>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</si>
  <si>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</si>
  <si>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</si>
  <si>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</si>
  <si>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</si>
  <si>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</si>
  <si>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</si>
  <si>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</si>
  <si>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</si>
  <si>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</si>
  <si>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</si>
  <si>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</si>
  <si>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</si>
  <si>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</si>
  <si>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</si>
  <si>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</si>
  <si>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</si>
  <si>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</si>
  <si>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</si>
  <si>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</si>
  <si>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</si>
  <si>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</si>
  <si>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</si>
  <si>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</si>
  <si>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</si>
  <si>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</si>
  <si>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</si>
  <si>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</si>
  <si>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</si>
  <si>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</si>
  <si>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</si>
  <si>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</si>
  <si>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</si>
  <si>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</si>
  <si>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</si>
  <si>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</si>
  <si>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</si>
  <si>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</si>
  <si>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</si>
  <si>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</si>
  <si>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</si>
  <si>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</si>
  <si>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</si>
  <si>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</si>
  <si>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</si>
  <si>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</si>
  <si>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</si>
  <si>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</si>
  <si>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</si>
  <si>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</si>
  <si>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</si>
  <si>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</si>
  <si>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</si>
  <si>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</si>
  <si>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</si>
  <si>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</si>
  <si>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</si>
  <si>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</si>
  <si>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</si>
  <si>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</si>
  <si>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</si>
  <si>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</si>
  <si>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</si>
  <si>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</si>
  <si>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</si>
  <si>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</si>
  <si>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</si>
  <si>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</si>
  <si>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</si>
  <si>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</si>
  <si>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</si>
  <si>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</si>
  <si>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</si>
  <si>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</si>
  <si>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</si>
  <si>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</si>
  <si>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</si>
  <si>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</si>
  <si>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</si>
  <si>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</si>
  <si>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</si>
  <si>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</si>
  <si>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</si>
  <si>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</si>
  <si>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</si>
  <si>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</si>
  <si>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</si>
  <si>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</si>
  <si>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</si>
  <si>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</si>
  <si>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</si>
  <si>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</si>
  <si>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</si>
  <si>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</si>
  <si>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</si>
  <si>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</si>
  <si>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</si>
  <si>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</si>
  <si>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</si>
  <si>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</si>
  <si>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</si>
  <si>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</si>
  <si>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</si>
  <si>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</si>
  <si>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</si>
  <si>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</si>
  <si>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</si>
  <si>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</si>
  <si>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</si>
  <si>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</si>
  <si>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</si>
  <si>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</si>
  <si>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</si>
  <si>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</si>
  <si>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</si>
  <si>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</si>
  <si>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</si>
  <si>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</si>
  <si>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</si>
  <si>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</si>
  <si>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</si>
  <si>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</si>
  <si>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</si>
  <si>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</si>
  <si>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</si>
  <si>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</si>
  <si>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</si>
  <si>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</si>
  <si>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</si>
  <si>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</si>
  <si>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</si>
  <si>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</si>
  <si>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</si>
  <si>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</si>
  <si>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</si>
  <si>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</si>
  <si>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</si>
  <si>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</si>
  <si>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</si>
  <si>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</si>
  <si>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</si>
  <si>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</si>
  <si>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</si>
  <si>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</si>
  <si>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</si>
  <si>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</si>
  <si>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</si>
  <si>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</si>
  <si>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</si>
  <si>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</si>
  <si>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</si>
  <si>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</si>
  <si>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</si>
  <si>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</si>
  <si>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</si>
  <si>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</si>
  <si>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</si>
  <si>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</si>
  <si>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</si>
  <si>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</si>
  <si>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</si>
  <si>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</si>
  <si>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</si>
  <si>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</si>
  <si>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</si>
  <si>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</si>
  <si>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</si>
  <si>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</si>
  <si>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</si>
  <si>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</si>
  <si>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</si>
  <si>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</si>
  <si>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</si>
  <si>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</si>
  <si>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</si>
  <si>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</si>
  <si>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</si>
  <si>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</si>
  <si>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</si>
  <si>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</si>
  <si>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</si>
  <si>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</si>
  <si>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</si>
  <si>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</si>
  <si>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</si>
  <si>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</si>
  <si>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</si>
  <si>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</si>
  <si>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</si>
  <si>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</si>
  <si>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</si>
  <si>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</si>
  <si>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</si>
  <si>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</si>
  <si>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</si>
  <si>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</si>
  <si>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</si>
  <si>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</si>
  <si>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</si>
  <si>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</si>
  <si>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</si>
  <si>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</si>
  <si>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</si>
  <si>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</si>
  <si>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</si>
  <si>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</si>
  <si>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</si>
  <si>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</si>
  <si>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</si>
  <si>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</si>
  <si>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</si>
  <si>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</si>
  <si>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</si>
  <si>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</si>
  <si>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</si>
  <si>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</si>
  <si>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</si>
  <si>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</si>
  <si>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</si>
  <si>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</si>
  <si>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</si>
  <si>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</si>
  <si>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</si>
  <si>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</si>
  <si>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</si>
  <si>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</si>
  <si>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</si>
  <si>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</si>
  <si>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</si>
  <si>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</si>
  <si>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</si>
  <si>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</si>
  <si>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</si>
  <si>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</si>
  <si>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</si>
  <si>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</si>
  <si>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</si>
  <si>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</si>
  <si>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</si>
  <si>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</si>
  <si>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</si>
  <si>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</si>
  <si>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</si>
  <si>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</si>
  <si>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</si>
  <si>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</si>
  <si>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</si>
  <si>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</si>
  <si>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</si>
  <si>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</si>
  <si>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</si>
  <si>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</si>
  <si>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</si>
  <si>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</si>
  <si>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</si>
  <si>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</si>
  <si>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</si>
  <si>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</si>
  <si>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</si>
  <si>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</si>
  <si>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</si>
  <si>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</si>
  <si>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</si>
  <si>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</si>
  <si>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</si>
  <si>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</si>
  <si>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</si>
  <si>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</si>
  <si>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</si>
  <si>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</si>
  <si>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</si>
  <si>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</si>
  <si>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</si>
  <si>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</si>
  <si>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</si>
  <si>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</si>
  <si>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</si>
  <si>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</si>
  <si>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</si>
  <si>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</si>
  <si>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</si>
  <si>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</si>
  <si>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</si>
  <si>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</si>
  <si>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</si>
  <si>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</si>
  <si>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</si>
  <si>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</si>
  <si>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</si>
  <si>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</si>
  <si>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</si>
  <si>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</si>
  <si>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</si>
  <si>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</si>
  <si>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</si>
  <si>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</si>
  <si>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</si>
  <si>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</si>
  <si>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</si>
  <si>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</si>
  <si>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</si>
  <si>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</si>
  <si>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</si>
  <si>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</si>
  <si>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</si>
  <si>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</si>
  <si>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</si>
  <si>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</si>
  <si>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</si>
  <si>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</si>
  <si>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</si>
  <si>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</si>
  <si>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</si>
  <si>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</si>
  <si>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</si>
  <si>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</si>
  <si>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</si>
  <si>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</si>
  <si>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</si>
  <si>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</si>
  <si>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</si>
  <si>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</si>
  <si>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</si>
  <si>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</si>
  <si>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</si>
  <si>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</si>
  <si>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</si>
  <si>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</si>
  <si>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</si>
  <si>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</si>
  <si>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</si>
  <si>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</si>
  <si>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</si>
  <si>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</si>
  <si>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</si>
  <si>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</si>
  <si>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</si>
  <si>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</si>
  <si>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</si>
  <si>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</si>
  <si>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</si>
  <si>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</si>
  <si>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</si>
  <si>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</si>
  <si>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</si>
  <si>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</si>
  <si>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</si>
  <si>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</si>
  <si>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</si>
  <si>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</si>
  <si>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</si>
  <si>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</si>
  <si>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</si>
  <si>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</si>
  <si>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</si>
  <si>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</si>
  <si>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</si>
  <si>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</si>
  <si>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</si>
  <si>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</si>
  <si>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</si>
  <si>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</si>
  <si>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</si>
  <si>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</si>
  <si>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</si>
  <si>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</si>
  <si>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</si>
  <si>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</si>
  <si>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</si>
  <si>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</si>
  <si>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</si>
  <si>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</si>
  <si>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</si>
  <si>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</si>
  <si>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</si>
  <si>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</si>
  <si>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</si>
  <si>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</si>
  <si>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</si>
  <si>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</si>
  <si>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</si>
  <si>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</si>
  <si>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</si>
  <si>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</si>
  <si>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</si>
  <si>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</si>
  <si>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</si>
  <si>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</si>
  <si>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</si>
  <si>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</si>
  <si>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</si>
  <si>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</si>
  <si>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</si>
  <si>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</si>
  <si>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</si>
  <si>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</si>
  <si>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</si>
  <si>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</si>
  <si>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</si>
  <si>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</si>
  <si>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</si>
  <si>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</si>
  <si>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</si>
  <si>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</si>
  <si>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</si>
  <si>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</si>
  <si>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</si>
  <si>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</si>
  <si>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</si>
  <si>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</si>
  <si>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</si>
  <si>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</si>
  <si>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</si>
  <si>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</si>
  <si>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</si>
  <si>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</si>
  <si>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</si>
  <si>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</si>
  <si>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</si>
  <si>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</si>
  <si>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</si>
  <si>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</si>
  <si>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</si>
  <si>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</si>
  <si>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</si>
  <si>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</si>
  <si>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</si>
  <si>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</si>
  <si>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</si>
  <si>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</si>
  <si>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</si>
  <si>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</si>
  <si>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</si>
  <si>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</si>
  <si>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</si>
  <si>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</si>
  <si>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</si>
  <si>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</si>
  <si>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</si>
  <si>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</si>
  <si>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</si>
  <si>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</si>
  <si>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</si>
  <si>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</si>
  <si>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</si>
  <si>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</si>
  <si>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</si>
  <si>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</si>
  <si>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</si>
  <si>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</si>
  <si>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</si>
  <si>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</si>
  <si>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</si>
  <si>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</si>
  <si>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</si>
  <si>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</si>
  <si>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</si>
  <si>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</si>
  <si>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</si>
  <si>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</si>
  <si>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</si>
  <si>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</si>
  <si>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</si>
  <si>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</si>
  <si>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</si>
  <si>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</si>
  <si>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</si>
  <si>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</si>
  <si>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</si>
  <si>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</si>
  <si>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</si>
  <si>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</si>
  <si>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</si>
  <si>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</si>
  <si>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</si>
  <si>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</si>
  <si>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</si>
  <si>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</si>
  <si>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</si>
  <si>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</si>
  <si>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</si>
  <si>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</si>
  <si>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</si>
  <si>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</si>
  <si>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</si>
  <si>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</si>
  <si>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</si>
  <si>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</si>
  <si>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</si>
  <si>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</si>
  <si>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</si>
  <si>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</si>
  <si>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</si>
  <si>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</si>
  <si>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</si>
  <si>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</si>
  <si>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</si>
  <si>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</si>
  <si>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</si>
  <si>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</si>
  <si>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</si>
  <si>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</si>
  <si>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</si>
  <si>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</si>
  <si>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</si>
  <si>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</si>
  <si>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</si>
  <si>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</si>
  <si>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</si>
  <si>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</si>
  <si>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</si>
  <si>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</si>
  <si>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</si>
  <si>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</si>
  <si>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</si>
  <si>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</si>
  <si>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</si>
  <si>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</si>
  <si>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</si>
  <si>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</si>
  <si>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</si>
  <si>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</si>
  <si>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</si>
  <si>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</si>
  <si>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</si>
  <si>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</si>
  <si>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</si>
  <si>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</si>
  <si>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</si>
  <si>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</si>
  <si>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</si>
  <si>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</si>
  <si>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</si>
  <si>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</si>
  <si>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</si>
  <si>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</si>
  <si>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</si>
  <si>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</si>
  <si>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</si>
  <si>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</si>
  <si>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</si>
  <si>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</si>
  <si>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</si>
  <si>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</si>
  <si>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</si>
  <si>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</si>
  <si>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</si>
  <si>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</si>
  <si>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</si>
  <si>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</si>
  <si>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</si>
  <si>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</si>
  <si>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</si>
  <si>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</si>
  <si>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</si>
  <si>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</si>
  <si>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</si>
  <si>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</si>
  <si>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</si>
  <si>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</si>
  <si>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</si>
  <si>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</si>
  <si>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</si>
  <si>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</si>
  <si>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</si>
  <si>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</si>
  <si>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</si>
  <si>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</si>
  <si>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</si>
  <si>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</si>
  <si>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</si>
  <si>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</si>
  <si>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</si>
  <si>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</si>
  <si>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</si>
  <si>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</si>
  <si>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</si>
  <si>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</si>
  <si>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</si>
  <si>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</si>
  <si>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</si>
  <si>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</si>
  <si>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</si>
  <si>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</si>
  <si>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</si>
  <si>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</si>
  <si>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</si>
  <si>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</si>
  <si>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</si>
  <si>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</si>
  <si>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</si>
  <si>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</si>
  <si>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</si>
  <si>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</si>
  <si>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</si>
  <si>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</si>
  <si>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</si>
  <si>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</si>
  <si>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</si>
  <si>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</si>
  <si>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</si>
  <si>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</si>
  <si>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</si>
  <si>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</si>
  <si>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</si>
  <si>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</si>
  <si>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</si>
  <si>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</si>
  <si>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</si>
  <si>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</si>
  <si>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</si>
  <si>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</si>
  <si>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</si>
  <si>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</si>
  <si>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</si>
  <si>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</si>
  <si>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</si>
  <si>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</si>
  <si>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</si>
  <si>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</si>
  <si>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</si>
  <si>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</si>
  <si>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</si>
  <si>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</si>
  <si>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</si>
  <si>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</si>
  <si>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</si>
  <si>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</si>
  <si>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</si>
  <si>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</si>
  <si>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</si>
  <si>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</si>
  <si>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</si>
  <si>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</si>
  <si>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</si>
  <si>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</si>
  <si>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</si>
  <si>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</si>
  <si>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</si>
  <si>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</si>
  <si>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</si>
  <si>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</si>
  <si>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</si>
  <si>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</si>
  <si>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</si>
  <si>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</si>
  <si>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</si>
  <si>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</si>
  <si>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</si>
  <si>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</si>
  <si>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</si>
  <si>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</si>
  <si>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</si>
  <si>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</si>
  <si>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</si>
  <si>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</si>
  <si>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</si>
  <si>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</si>
  <si>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</si>
  <si>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</si>
  <si>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</si>
  <si>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</si>
  <si>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</si>
  <si>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</si>
  <si>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</si>
  <si>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</si>
  <si>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</si>
  <si>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</si>
  <si>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</si>
  <si>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</si>
  <si>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</si>
  <si>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</si>
  <si>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</si>
  <si>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</si>
  <si>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</si>
  <si>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</si>
  <si>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</si>
  <si>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</si>
  <si>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</si>
  <si>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</si>
  <si>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</si>
  <si>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</si>
  <si>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</si>
  <si>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</si>
  <si>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</si>
  <si>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</si>
  <si>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</si>
  <si>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</si>
  <si>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</si>
  <si>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</si>
  <si>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</si>
  <si>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</si>
  <si>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</si>
  <si>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</si>
  <si>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</si>
  <si>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</si>
  <si>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</si>
  <si>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</si>
  <si>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</si>
  <si>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</si>
  <si>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</si>
  <si>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</si>
  <si>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</si>
  <si>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</si>
  <si>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</si>
  <si>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</si>
  <si>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</si>
  <si>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</si>
  <si>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</si>
  <si>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</si>
  <si>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</si>
  <si>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</si>
  <si>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</si>
  <si>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</si>
  <si>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</si>
  <si>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</si>
  <si>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</si>
  <si>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</si>
  <si>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</si>
  <si>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</si>
  <si>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</si>
  <si>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</si>
  <si>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</si>
  <si>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</si>
  <si>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</si>
  <si>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</si>
  <si>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</si>
  <si>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</si>
  <si>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</si>
  <si>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</si>
  <si>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</si>
  <si>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</si>
  <si>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</si>
  <si>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</si>
  <si>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</si>
  <si>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</si>
  <si>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</si>
  <si>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</si>
  <si>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</si>
  <si>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</si>
  <si>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</si>
  <si>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</si>
  <si>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</si>
  <si>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</si>
  <si>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</si>
  <si>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</si>
  <si>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</si>
  <si>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</si>
  <si>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</si>
  <si>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</si>
  <si>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</si>
  <si>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</si>
  <si>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</si>
  <si>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</si>
  <si>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</si>
  <si>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</si>
  <si>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</si>
  <si>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</si>
  <si>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</si>
  <si>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</si>
  <si>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</si>
  <si>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</si>
  <si>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</si>
  <si>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</si>
  <si>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</si>
  <si>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</si>
  <si>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</si>
  <si>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</si>
  <si>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</si>
  <si>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</si>
  <si>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</si>
  <si>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</si>
  <si>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</si>
  <si>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</si>
  <si>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</si>
  <si>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</si>
  <si>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</si>
  <si>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</si>
  <si>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</si>
  <si>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</si>
  <si>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</si>
  <si>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</si>
  <si>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</si>
  <si>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</si>
  <si>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Johnson, Alexander, Massac &amp; Pulaski</t>
  </si>
  <si>
    <t>PO Box 107</t>
  </si>
  <si>
    <t>Grand Chain</t>
  </si>
  <si>
    <t>jampbkpr@yahoo.com</t>
  </si>
  <si>
    <t>Beussink, Hey, Roe &amp; Stoder, LLC</t>
  </si>
  <si>
    <t>Jeffrey C. Stroder, CPA</t>
  </si>
  <si>
    <t>16 S. Silver Springs Road</t>
  </si>
  <si>
    <t>Cape Girardeau</t>
  </si>
  <si>
    <t>MO</t>
  </si>
  <si>
    <t>573-334-7971</t>
  </si>
  <si>
    <t>573-334-8875</t>
  </si>
  <si>
    <t>066-003889</t>
  </si>
  <si>
    <t>jstroder@bhrcpas.com</t>
  </si>
  <si>
    <t>None</t>
  </si>
  <si>
    <t>Account Number</t>
  </si>
  <si>
    <t>Object Code</t>
  </si>
  <si>
    <t>Miscellaneous Receipts</t>
  </si>
  <si>
    <t>Il Dept. of Healtcare &amp; Family Services</t>
  </si>
  <si>
    <t xml:space="preserve">  Administrative Contract</t>
  </si>
  <si>
    <t>Fee for Service Transfer to Districts</t>
  </si>
  <si>
    <t>Medicaid Admin Outreach Transferred to Districts</t>
  </si>
  <si>
    <t>National School Lunch Transferred to Century School</t>
  </si>
  <si>
    <t>Illinois Lunch Transferred to Century School</t>
  </si>
  <si>
    <t>National School Breakfast Transferred to Century School</t>
  </si>
  <si>
    <t>Special Education Personnel Transferred to Districts</t>
  </si>
  <si>
    <t>U.S. Department of Agriculture</t>
  </si>
  <si>
    <t>Passed Through Illinois State Board of Education</t>
  </si>
  <si>
    <t xml:space="preserve">   School Breakfast Program</t>
  </si>
  <si>
    <t>17-4220</t>
  </si>
  <si>
    <t>18-4220</t>
  </si>
  <si>
    <t xml:space="preserve">    Total for CFDA #10.553</t>
  </si>
  <si>
    <t xml:space="preserve">  National School Lunch Program</t>
  </si>
  <si>
    <t>17-4210</t>
  </si>
  <si>
    <t>18-4210</t>
  </si>
  <si>
    <t xml:space="preserve">    Total for CFDA #10.555</t>
  </si>
  <si>
    <t>Total Child Nutrition Cluster (CFDA Numbers 10.553 and 10.555)</t>
  </si>
  <si>
    <t>TOTAL U.S. DEPARTMENT OF AGRICULTURE</t>
  </si>
  <si>
    <t>U.S. DEPARTMENT OF EDUCATION</t>
  </si>
  <si>
    <t xml:space="preserve">  Special Education - IDEA (M)</t>
  </si>
  <si>
    <t>17-4620</t>
  </si>
  <si>
    <t>18-4620</t>
  </si>
  <si>
    <t xml:space="preserve">    Total for CFDA #84.027</t>
  </si>
  <si>
    <t xml:space="preserve">  Special Education - Preschool Grants (M)</t>
  </si>
  <si>
    <t>17-4600</t>
  </si>
  <si>
    <t>18-4600</t>
  </si>
  <si>
    <t xml:space="preserve">    Total for CFDA #84.173</t>
  </si>
  <si>
    <t>Total Special Education Cluster (IDEA) (CFDA Numbers 84.027 and 84.173)</t>
  </si>
  <si>
    <t>TOTAL U.S. DEPARTMENT OF EDUCATION</t>
  </si>
  <si>
    <t>U.S. DEPARTMENT OF HEALTH &amp; HUMAN SERVICES</t>
  </si>
  <si>
    <t>Passed Through Illinois Department of Healthcare &amp; Family Services</t>
  </si>
  <si>
    <t xml:space="preserve">  Medical Assistance Program</t>
  </si>
  <si>
    <t xml:space="preserve"> Passed Through to Member Districts (see AFR page 41)</t>
  </si>
  <si>
    <t xml:space="preserve">    Total for CFDA# 93.778</t>
  </si>
  <si>
    <t>17-4991</t>
  </si>
  <si>
    <t>18-4991</t>
  </si>
  <si>
    <t>TOTAL U.S. DEPARTMENT OF HEALTH &amp; HUMAN SERVICES</t>
  </si>
  <si>
    <t>TOTAL FEDERAL AWARDS</t>
  </si>
  <si>
    <r>
      <t xml:space="preserve">The accompanying Schedule of Expenditures of Federal Awards includes the federal grant activity of </t>
    </r>
    <r>
      <rPr>
        <b/>
        <sz val="9"/>
        <rFont val="Calibri"/>
        <family val="2"/>
        <scheme val="minor"/>
      </rPr>
      <t>JAMP Special Education Services</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</si>
  <si>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School Breakfast Program/Century CUSD No. 100</t>
  </si>
  <si>
    <t>National School Lunch Program/Century CUDS No. 100</t>
  </si>
  <si>
    <t>Medical Assistance Program/Buncombe Elementary Sch Dist No. 43</t>
  </si>
  <si>
    <t>Medical Assistance Program/Century CUSD No. 100</t>
  </si>
  <si>
    <t>Medical Assistance Program/Cypress Elementary Sch Dist No. 64</t>
  </si>
  <si>
    <t>Medical Assistance Program/Egyptian CUSD No. 5</t>
  </si>
  <si>
    <t>Medical Assistance Program/Goreville USD No. 1</t>
  </si>
  <si>
    <t>Medical Assistance Program/Joppa-Maple Grove USD No. 38</t>
  </si>
  <si>
    <t>Medical Assistance Program/Meridian CUSD No. 101</t>
  </si>
  <si>
    <t>Medical Assistance Program/New Simpson Hill Dist No. 32</t>
  </si>
  <si>
    <t>Medical Assistance Program/Vienna High School Dist No. 13-3</t>
  </si>
  <si>
    <r>
      <t xml:space="preserve">The following amounts were expended in the form of non-cash assistance by </t>
    </r>
    <r>
      <rPr>
        <b/>
        <sz val="9"/>
        <rFont val="Calibri"/>
        <family val="2"/>
        <scheme val="minor"/>
      </rPr>
      <t>JAMP Special Education Services</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</si>
  <si>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Special Education - IDEA/Egyptian CUSD No. 5</t>
  </si>
  <si>
    <t>Special Education - IDEA/Vienna High School Dist No. 13-3</t>
  </si>
  <si>
    <t>Special Education - IDEA/Joppa-Maple Grove USD No. 38</t>
  </si>
  <si>
    <t>Special Education - IDEA/Century CUSD No. 100</t>
  </si>
  <si>
    <t>Special Education - IDEA/Cypress Elementary Sch Dist No. 64</t>
  </si>
  <si>
    <t>Medical Assistance Program/Vienna Elementary Sch Dist No. 55</t>
  </si>
  <si>
    <t>Special Education - IDEA/Vienna Elementary Sch Dist No. 55</t>
  </si>
  <si>
    <t>Special Education - IDEA/Goreville USD No. 1</t>
  </si>
  <si>
    <r>
      <t xml:space="preserve">Of the federal expenditures presented in the schedule, </t>
    </r>
    <r>
      <rPr>
        <b/>
        <sz val="9"/>
        <rFont val="Calibri"/>
        <family val="2"/>
        <scheme val="minor"/>
      </rPr>
      <t>JAMP Special Education Services</t>
    </r>
    <r>
      <rPr>
        <sz val="9"/>
        <rFont val="Calibri"/>
        <family val="2"/>
        <scheme val="minor"/>
      </rPr>
      <t xml:space="preserve"> provided federal awards to subrecipients as follows:</t>
    </r>
  </si>
  <si>
    <t>Unmodified</t>
  </si>
  <si>
    <t>84.027 and 84.173</t>
  </si>
  <si>
    <t>Special Education Cluster (IDEA)</t>
  </si>
  <si>
    <t>2017-001</t>
  </si>
  <si>
    <t>Equipment records have not been maintained</t>
  </si>
  <si>
    <t>for equipment purchased with federal grant</t>
  </si>
  <si>
    <t>funds in accordance with Illinois State Board of</t>
  </si>
  <si>
    <r>
      <t xml:space="preserve">The accompanying Schedule of Expenditures of Federal Awards includes the federal grant activity of  </t>
    </r>
    <r>
      <rPr>
        <b/>
        <sz val="9"/>
        <rFont val="Calibri"/>
        <family val="2"/>
        <scheme val="minor"/>
      </rPr>
      <t>JAMP Special Education Services</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</si>
  <si>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Education requirements.</t>
  </si>
  <si>
    <t xml:space="preserve">                                       Implemented.</t>
  </si>
  <si>
    <t>The financial statements are presented in a format that complies with regulatory provisions prescribed by the Illinois State Board of Education, whose practices differ from accounting principles generally accepted in the United States of America.  In addition, the notes to the financial statements do not include the note disclosure required by GASB Statement No. 75 for one of the School's two deferred contribution OPEB plans.</t>
  </si>
  <si>
    <t>JAMP SpEd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</si>
</sst>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52" fillId="0" borderId="0" xfId="3" applyFont="1" applyAlignment="1" applyProtection="1">
      <alignment horizontal="center"/>
    </xf>
    <xf numFmtId="0" fontId="60" fillId="0" borderId="0" xfId="3" applyFont="1" applyBorder="1" applyAlignment="1" applyProtection="1">
      <alignment horizontal="left" vertical="top" wrapText="1"/>
    </xf>
    <xf numFmtId="0" fontId="1" fillId="0" borderId="158" xfId="17" applyFont="1" applyBorder="1" applyAlignment="1" applyProtection="1">
      <alignment horizontal="left" vertical="top" wrapText="1"/>
      <protection locked="0"/>
    </xf>
    <xf numFmtId="0" fontId="55" fillId="0" borderId="78" xfId="0" applyFont="1" applyBorder="1" applyAlignment="1">
      <alignment horizontal="center"/>
    </xf>
    <xf numFmtId="0" fontId="55" fillId="0" borderId="0" xfId="0" applyFont="1" applyAlignment="1">
      <alignment horizontal="center"/>
    </xf>
    <xf numFmtId="42" fontId="136" fillId="0" borderId="0" xfId="0" applyNumberFormat="1" applyFont="1"/>
    <xf numFmtId="42" fontId="55" fillId="0" borderId="0" xfId="0" applyNumberFormat="1" applyFont="1"/>
    <xf numFmtId="41" fontId="55" fillId="0" borderId="0" xfId="0" applyNumberFormat="1" applyFont="1"/>
    <xf numFmtId="41" fontId="73" fillId="0" borderId="0" xfId="0" applyNumberFormat="1" applyFo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B956017-C556-480B-8244-4768F7947EE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5" t="s">
        <v>1685</v>
      </c>
      <c r="B3" s="156"/>
      <c r="C3" s="156"/>
      <c r="D3" s="157"/>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4"/>
      <c r="C5" s="26" t="s">
        <v>966</v>
      </c>
      <c r="D5" s="84"/>
      <c r="E5" s="84"/>
      <c r="H5" s="38"/>
      <c r="I5" s="2047" t="s">
        <v>701</v>
      </c>
      <c r="J5" s="1992"/>
      <c r="K5" s="1992"/>
      <c r="L5" s="1992"/>
      <c r="M5" s="1992"/>
      <c r="N5" s="1992"/>
      <c r="O5" s="1992"/>
      <c r="P5" s="1992"/>
      <c r="Q5" s="1992"/>
      <c r="R5" s="1992"/>
      <c r="S5" s="1992"/>
    </row>
    <row r="6" spans="1:28" ht="14.1" customHeight="1" x14ac:dyDescent="0.2">
      <c r="B6" s="104" t="s">
        <v>2074</v>
      </c>
      <c r="C6" s="26" t="s">
        <v>967</v>
      </c>
      <c r="D6" s="84"/>
      <c r="E6" s="84"/>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t="s">
        <v>2074</v>
      </c>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8">
        <v>30077801060</v>
      </c>
      <c r="B13" s="2009"/>
      <c r="C13" s="2009"/>
      <c r="D13" s="2009"/>
      <c r="E13" s="2009"/>
      <c r="F13" s="2009"/>
      <c r="G13" s="2009"/>
      <c r="H13" s="2010"/>
      <c r="I13" s="31"/>
      <c r="J13" s="30"/>
      <c r="K13" s="28"/>
      <c r="L13" s="30"/>
      <c r="M13" s="30"/>
      <c r="N13" s="30"/>
      <c r="O13" s="30"/>
      <c r="P13" s="30"/>
      <c r="Q13" s="30"/>
      <c r="R13" s="30"/>
      <c r="S13" s="30"/>
      <c r="T13" s="2013" t="s">
        <v>2079</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2075</v>
      </c>
      <c r="B15" s="2011"/>
      <c r="C15" s="2011"/>
      <c r="D15" s="2011"/>
      <c r="E15" s="2011"/>
      <c r="F15" s="2011"/>
      <c r="G15" s="2011"/>
      <c r="H15" s="2012"/>
      <c r="T15" s="1974" t="s">
        <v>2080</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6" t="s">
        <v>2165</v>
      </c>
      <c r="B17" s="2036"/>
      <c r="C17" s="2036"/>
      <c r="D17" s="2036"/>
      <c r="E17" s="2036"/>
      <c r="F17" s="2036"/>
      <c r="G17" s="2036"/>
      <c r="H17" s="2037"/>
      <c r="T17" s="2023" t="s">
        <v>2081</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2076</v>
      </c>
      <c r="B19" s="2007"/>
      <c r="C19" s="2007"/>
      <c r="D19" s="2007"/>
      <c r="E19" s="2007"/>
      <c r="F19" s="2007"/>
      <c r="G19" s="2007"/>
      <c r="H19" s="2005"/>
      <c r="I19" s="30"/>
      <c r="J19" s="99"/>
      <c r="K19" s="40"/>
      <c r="L19" s="38"/>
      <c r="M19" s="112" t="s">
        <v>333</v>
      </c>
      <c r="P19" s="27"/>
      <c r="Q19" s="27"/>
      <c r="R19" s="27"/>
      <c r="S19" s="31"/>
      <c r="T19" s="2006" t="s">
        <v>2082</v>
      </c>
      <c r="U19" s="2004"/>
      <c r="V19" s="2004"/>
      <c r="W19" s="2005"/>
      <c r="X19" s="2021" t="s">
        <v>2083</v>
      </c>
      <c r="Y19" s="2022"/>
      <c r="Z19" s="2019">
        <v>63703</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2077</v>
      </c>
      <c r="B21" s="2004"/>
      <c r="C21" s="2004"/>
      <c r="D21" s="2004"/>
      <c r="E21" s="2004"/>
      <c r="F21" s="2004"/>
      <c r="G21" s="2004"/>
      <c r="H21" s="2005"/>
      <c r="I21" s="2029" t="s">
        <v>699</v>
      </c>
      <c r="J21" s="1992"/>
      <c r="K21" s="1992"/>
      <c r="L21" s="1992"/>
      <c r="M21" s="1992"/>
      <c r="N21" s="1992"/>
      <c r="O21" s="1992"/>
      <c r="P21" s="1992"/>
      <c r="Q21" s="1992"/>
      <c r="R21" s="1992"/>
      <c r="S21" s="1993"/>
      <c r="T21" s="1971" t="s">
        <v>2084</v>
      </c>
      <c r="U21" s="1972"/>
      <c r="V21" s="1972"/>
      <c r="W21" s="1972"/>
      <c r="X21" s="1985" t="s">
        <v>2085</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t="s">
        <v>2078</v>
      </c>
      <c r="B23" s="2027"/>
      <c r="C23" s="2027"/>
      <c r="D23" s="2027"/>
      <c r="E23" s="2027"/>
      <c r="F23" s="2027"/>
      <c r="G23" s="2027"/>
      <c r="H23" s="2028"/>
      <c r="T23" s="1966" t="s">
        <v>2086</v>
      </c>
      <c r="U23" s="1967"/>
      <c r="V23" s="1967"/>
      <c r="W23" s="1967"/>
      <c r="X23" s="1982">
        <v>44530</v>
      </c>
      <c r="Y23" s="1983"/>
      <c r="Z23" s="1983"/>
      <c r="AA23" s="1984"/>
    </row>
    <row r="24" spans="1:27" ht="14.1" customHeight="1" x14ac:dyDescent="0.2">
      <c r="A24" s="88" t="s">
        <v>698</v>
      </c>
      <c r="B24" s="49"/>
      <c r="C24" s="49"/>
      <c r="D24" s="49"/>
      <c r="E24" s="49"/>
      <c r="F24" s="49"/>
      <c r="G24" s="49"/>
      <c r="H24" s="61"/>
      <c r="J24" s="2068" t="str">
        <f>IF(B5="x",IF(AUDITCHECK!D29="AFR form Incomplete.","",IF(AUDITCHECK!D29="Deficit reduction plan is required.","School District must complete a deficit reduction plan in the 2018-2019 Budget",)),"")</f>
        <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03">
        <v>62970</v>
      </c>
      <c r="B25" s="2004"/>
      <c r="C25" s="2004"/>
      <c r="D25" s="2004"/>
      <c r="E25" s="2004"/>
      <c r="F25" s="2004"/>
      <c r="G25" s="2004"/>
      <c r="H25" s="2005"/>
      <c r="I25" s="113"/>
      <c r="J25" s="2070"/>
      <c r="K25" s="2070"/>
      <c r="L25" s="2070"/>
      <c r="M25" s="2070"/>
      <c r="N25" s="2070"/>
      <c r="O25" s="2070"/>
      <c r="P25" s="2070"/>
      <c r="Q25" s="2070"/>
      <c r="R25" s="2070"/>
      <c r="S25" s="2071"/>
      <c r="T25" s="1963" t="s">
        <v>2087</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1"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6"/>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c r="B42" s="2053"/>
      <c r="C42" s="2054"/>
      <c r="D42" s="2067"/>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22" sqref="I22:S2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7" t="s">
        <v>1902</v>
      </c>
      <c r="B2" s="1550" t="s">
        <v>2034</v>
      </c>
      <c r="C2" s="715" t="s">
        <v>1907</v>
      </c>
      <c r="D2" s="715" t="s">
        <v>1908</v>
      </c>
      <c r="E2" s="715" t="s">
        <v>1909</v>
      </c>
      <c r="F2" s="715" t="s">
        <v>1910</v>
      </c>
    </row>
    <row r="3" spans="1:6" ht="12" customHeight="1" x14ac:dyDescent="0.2">
      <c r="A3" s="2208"/>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I22" sqref="I22:S2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650</v>
      </c>
      <c r="B1" s="2214"/>
      <c r="C1" s="722"/>
    </row>
    <row r="2" spans="1:7" ht="33.75" x14ac:dyDescent="0.2">
      <c r="A2" s="2222" t="s">
        <v>1902</v>
      </c>
      <c r="B2" s="2223"/>
      <c r="C2" s="1909" t="s">
        <v>2035</v>
      </c>
      <c r="D2" s="724" t="s">
        <v>2042</v>
      </c>
      <c r="E2" s="724" t="s">
        <v>2043</v>
      </c>
      <c r="F2" s="1909" t="s">
        <v>2036</v>
      </c>
    </row>
    <row r="3" spans="1:7" ht="15.75" customHeight="1" x14ac:dyDescent="0.2">
      <c r="A3" s="2226" t="s">
        <v>1176</v>
      </c>
      <c r="B3" s="2227"/>
      <c r="C3" s="2215"/>
      <c r="D3" s="2216"/>
      <c r="E3" s="2216"/>
      <c r="F3" s="2217"/>
    </row>
    <row r="4" spans="1:7" ht="12.75" customHeight="1" thickBot="1" x14ac:dyDescent="0.25">
      <c r="A4" s="2224" t="s">
        <v>651</v>
      </c>
      <c r="B4" s="2225"/>
      <c r="C4" s="581"/>
      <c r="D4" s="581"/>
      <c r="E4" s="581"/>
      <c r="F4" s="1777">
        <f>SUM(C4+D4)-E4</f>
        <v>0</v>
      </c>
    </row>
    <row r="5" spans="1:7" ht="15.75" customHeight="1" thickTop="1" x14ac:dyDescent="0.2">
      <c r="A5" s="2209" t="s">
        <v>1172</v>
      </c>
      <c r="B5" s="2210"/>
      <c r="C5" s="2218"/>
      <c r="D5" s="2219"/>
      <c r="E5" s="2219"/>
      <c r="F5" s="222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1" t="s">
        <v>652</v>
      </c>
      <c r="B15" s="2212"/>
      <c r="C15" s="1777">
        <f>SUM(C6:C14)</f>
        <v>0</v>
      </c>
      <c r="D15" s="1777">
        <f>SUM(D6:D14)</f>
        <v>0</v>
      </c>
      <c r="E15" s="1777">
        <f>SUM(E6:E14)</f>
        <v>0</v>
      </c>
      <c r="F15" s="1777">
        <f>SUM(F6:F14)</f>
        <v>0</v>
      </c>
      <c r="G15" s="552"/>
    </row>
    <row r="16" spans="1:7" s="202" customFormat="1" ht="15.75" customHeight="1" thickTop="1" x14ac:dyDescent="0.2">
      <c r="A16" s="2221" t="s">
        <v>1173</v>
      </c>
      <c r="B16" s="2210"/>
      <c r="C16" s="2218"/>
      <c r="D16" s="2219"/>
      <c r="E16" s="2219"/>
      <c r="F16" s="2220"/>
    </row>
    <row r="17" spans="1:11" ht="12.75" customHeight="1" thickBot="1" x14ac:dyDescent="0.25">
      <c r="A17" s="2234" t="s">
        <v>66</v>
      </c>
      <c r="B17" s="2235"/>
      <c r="C17" s="727"/>
      <c r="D17" s="585"/>
      <c r="E17" s="727"/>
      <c r="F17" s="1777">
        <f>SUM(C17+D17)-E17</f>
        <v>0</v>
      </c>
    </row>
    <row r="18" spans="1:11" ht="12.75" customHeight="1" thickTop="1" thickBot="1" x14ac:dyDescent="0.25">
      <c r="A18" s="2234" t="s">
        <v>6</v>
      </c>
      <c r="B18" s="2235"/>
      <c r="C18" s="727"/>
      <c r="D18" s="585"/>
      <c r="E18" s="727"/>
      <c r="F18" s="1777">
        <f>SUM(C18+D18)-E18</f>
        <v>0</v>
      </c>
    </row>
    <row r="19" spans="1:11" ht="12.75" customHeight="1" thickTop="1" thickBot="1" x14ac:dyDescent="0.25">
      <c r="A19" s="2234" t="s">
        <v>406</v>
      </c>
      <c r="B19" s="2235"/>
      <c r="C19" s="727"/>
      <c r="D19" s="585"/>
      <c r="E19" s="727"/>
      <c r="F19" s="1777">
        <f>SUM(C19+D19)-E19</f>
        <v>0</v>
      </c>
    </row>
    <row r="20" spans="1:11" ht="12.75" customHeight="1" thickTop="1" thickBot="1" x14ac:dyDescent="0.25">
      <c r="A20" s="2234" t="s">
        <v>468</v>
      </c>
      <c r="B20" s="2235"/>
      <c r="C20" s="727"/>
      <c r="D20" s="585"/>
      <c r="E20" s="727"/>
      <c r="F20" s="1777">
        <f>SUM(C20+D20)-E20</f>
        <v>0</v>
      </c>
    </row>
    <row r="21" spans="1:11" ht="14.25" thickTop="1" thickBot="1" x14ac:dyDescent="0.25">
      <c r="A21" s="2211" t="s">
        <v>653</v>
      </c>
      <c r="B21" s="2212"/>
      <c r="C21" s="1777">
        <f>SUM(C17:C20)</f>
        <v>0</v>
      </c>
      <c r="D21" s="1777">
        <f>SUM(D17:D20)</f>
        <v>0</v>
      </c>
      <c r="E21" s="1777">
        <f>SUM(E17:E20)</f>
        <v>0</v>
      </c>
      <c r="F21" s="1777">
        <f>SUM(F17:F20)</f>
        <v>0</v>
      </c>
      <c r="G21" s="552"/>
    </row>
    <row r="22" spans="1:11" ht="15.75" customHeight="1" thickTop="1" x14ac:dyDescent="0.2">
      <c r="A22" s="2236" t="s">
        <v>1174</v>
      </c>
      <c r="B22" s="2210"/>
      <c r="C22" s="2218"/>
      <c r="D22" s="2219"/>
      <c r="E22" s="2219"/>
      <c r="F22" s="2220"/>
    </row>
    <row r="23" spans="1:11" ht="13.5" thickBot="1" x14ac:dyDescent="0.25">
      <c r="A23" s="2224" t="s">
        <v>654</v>
      </c>
      <c r="B23" s="2225"/>
      <c r="C23" s="581"/>
      <c r="D23" s="581"/>
      <c r="E23" s="581"/>
      <c r="F23" s="1777">
        <f>SUM(C23+D23)-E23</f>
        <v>0</v>
      </c>
      <c r="G23" s="552"/>
    </row>
    <row r="24" spans="1:11" ht="15.75" customHeight="1" thickTop="1" x14ac:dyDescent="0.2">
      <c r="A24" s="2236" t="s">
        <v>1175</v>
      </c>
      <c r="B24" s="2210"/>
      <c r="C24" s="2218"/>
      <c r="D24" s="2219"/>
      <c r="E24" s="2219"/>
      <c r="F24" s="2220"/>
    </row>
    <row r="25" spans="1:11" ht="13.5" thickBot="1" x14ac:dyDescent="0.25">
      <c r="A25" s="2224" t="s">
        <v>655</v>
      </c>
      <c r="B25" s="2225"/>
      <c r="C25" s="581"/>
      <c r="D25" s="581"/>
      <c r="E25" s="581"/>
      <c r="F25" s="1777">
        <f>SUM(C25+D25)-E25</f>
        <v>0</v>
      </c>
      <c r="G25" s="552"/>
    </row>
    <row r="26" spans="1:11" ht="15.75" customHeight="1" thickTop="1" x14ac:dyDescent="0.2">
      <c r="A26" s="2209" t="s">
        <v>678</v>
      </c>
      <c r="B26" s="2210"/>
      <c r="C26" s="728"/>
      <c r="D26" s="728"/>
      <c r="E26" s="728"/>
      <c r="F26" s="729"/>
    </row>
    <row r="27" spans="1:11" ht="13.5" thickBot="1" x14ac:dyDescent="0.25">
      <c r="A27" s="2211" t="s">
        <v>1130</v>
      </c>
      <c r="B27" s="2212"/>
      <c r="C27" s="585"/>
      <c r="D27" s="585"/>
      <c r="E27" s="585"/>
      <c r="F27" s="1777">
        <f>SUM(C27+D27)-E27</f>
        <v>0</v>
      </c>
      <c r="G27" s="552"/>
    </row>
    <row r="28" spans="1:11" ht="7.5" customHeight="1" thickTop="1" x14ac:dyDescent="0.2">
      <c r="A28" s="594"/>
    </row>
    <row r="29" spans="1:11" ht="23.25" customHeight="1" x14ac:dyDescent="0.2">
      <c r="A29" s="2237" t="s">
        <v>603</v>
      </c>
      <c r="B29" s="2214"/>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8" t="s">
        <v>605</v>
      </c>
      <c r="C52" s="2229"/>
      <c r="D52" s="2229"/>
      <c r="E52" s="750" t="s">
        <v>900</v>
      </c>
      <c r="F52" s="2230"/>
      <c r="G52" s="2231"/>
      <c r="H52" s="737"/>
      <c r="I52" s="737"/>
      <c r="J52" s="747"/>
    </row>
    <row r="53" spans="1:11" ht="11.25" customHeight="1" x14ac:dyDescent="0.2">
      <c r="A53" s="751" t="s">
        <v>969</v>
      </c>
      <c r="B53" s="752" t="s">
        <v>1008</v>
      </c>
      <c r="C53" s="747"/>
      <c r="D53" s="738"/>
      <c r="E53" s="750" t="s">
        <v>518</v>
      </c>
      <c r="F53" s="2232"/>
      <c r="G53" s="2233"/>
      <c r="H53" s="737"/>
      <c r="I53" s="737"/>
      <c r="J53" s="747"/>
    </row>
    <row r="54" spans="1:11" ht="11.25" customHeight="1" x14ac:dyDescent="0.2">
      <c r="A54" s="753" t="s">
        <v>970</v>
      </c>
      <c r="B54" s="748" t="s">
        <v>1009</v>
      </c>
      <c r="C54" s="747"/>
      <c r="D54" s="738"/>
      <c r="E54" s="750" t="s">
        <v>519</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22" sqref="I22:S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911</v>
      </c>
      <c r="B1" s="2263"/>
      <c r="C1" s="2263"/>
      <c r="D1" s="2263"/>
      <c r="E1" s="2263"/>
      <c r="F1" s="2263"/>
      <c r="G1" s="2264"/>
      <c r="H1" s="1552"/>
      <c r="I1" s="761"/>
      <c r="J1" s="433"/>
    </row>
    <row r="2" spans="1:11" ht="26.25" x14ac:dyDescent="0.2">
      <c r="A2" s="2241" t="s">
        <v>1776</v>
      </c>
      <c r="B2" s="2242"/>
      <c r="C2" s="2242"/>
      <c r="D2" s="2242"/>
      <c r="E2" s="2243"/>
      <c r="F2" s="762" t="s">
        <v>960</v>
      </c>
      <c r="G2" s="763" t="s">
        <v>1773</v>
      </c>
      <c r="H2" s="763" t="s">
        <v>430</v>
      </c>
      <c r="I2" s="763" t="s">
        <v>1220</v>
      </c>
      <c r="J2" s="763" t="s">
        <v>1916</v>
      </c>
      <c r="K2" s="763" t="s">
        <v>140</v>
      </c>
    </row>
    <row r="3" spans="1:11" x14ac:dyDescent="0.2">
      <c r="A3" s="2244" t="s">
        <v>1698</v>
      </c>
      <c r="B3" s="2245"/>
      <c r="C3" s="2245"/>
      <c r="D3" s="2245"/>
      <c r="E3" s="2246"/>
      <c r="F3" s="764"/>
      <c r="G3" s="765"/>
      <c r="H3" s="765"/>
      <c r="I3" s="765"/>
      <c r="J3" s="766"/>
      <c r="K3" s="766"/>
    </row>
    <row r="4" spans="1:11" x14ac:dyDescent="0.2">
      <c r="A4" s="2247" t="s">
        <v>387</v>
      </c>
      <c r="B4" s="2248"/>
      <c r="C4" s="2248"/>
      <c r="D4" s="2248"/>
      <c r="E4" s="2229"/>
      <c r="F4" s="767"/>
      <c r="G4" s="768"/>
      <c r="H4" s="769"/>
      <c r="I4" s="768"/>
      <c r="J4" s="770"/>
      <c r="K4" s="770"/>
    </row>
    <row r="5" spans="1:11" x14ac:dyDescent="0.2">
      <c r="A5" s="2265" t="s">
        <v>1129</v>
      </c>
      <c r="B5" s="2238"/>
      <c r="C5" s="2238"/>
      <c r="D5" s="2238"/>
      <c r="E5" s="2266"/>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5" t="s">
        <v>1917</v>
      </c>
      <c r="B10" s="2238"/>
      <c r="C10" s="2238"/>
      <c r="D10" s="2238"/>
      <c r="E10" s="2267"/>
      <c r="F10" s="784" t="s">
        <v>917</v>
      </c>
      <c r="G10" s="783"/>
      <c r="H10" s="785"/>
      <c r="I10" s="765"/>
      <c r="J10" s="766"/>
      <c r="K10" s="766"/>
    </row>
    <row r="11" spans="1:11" x14ac:dyDescent="0.2">
      <c r="A11" s="2265" t="s">
        <v>162</v>
      </c>
      <c r="B11" s="2238"/>
      <c r="C11" s="2238"/>
      <c r="D11" s="2238"/>
      <c r="E11" s="2266"/>
      <c r="F11" s="771" t="s">
        <v>907</v>
      </c>
      <c r="G11" s="772"/>
      <c r="H11" s="765"/>
      <c r="I11" s="765"/>
      <c r="J11" s="766"/>
      <c r="K11" s="774"/>
    </row>
    <row r="12" spans="1:11" ht="13.5" thickBot="1" x14ac:dyDescent="0.25">
      <c r="A12" s="2255" t="s">
        <v>961</v>
      </c>
      <c r="B12" s="2256"/>
      <c r="C12" s="2256"/>
      <c r="D12" s="2256"/>
      <c r="E12" s="2257"/>
      <c r="F12" s="1779"/>
      <c r="G12" s="1780">
        <f>SUM(G5:G11)</f>
        <v>0</v>
      </c>
      <c r="H12" s="1780">
        <f>SUM(H5:H11)</f>
        <v>0</v>
      </c>
      <c r="I12" s="1780">
        <f>SUM(I5:I11)</f>
        <v>0</v>
      </c>
      <c r="J12" s="1780">
        <f>SUM(J5:J11)</f>
        <v>0</v>
      </c>
      <c r="K12" s="1780">
        <f>SUM(K5:K11)</f>
        <v>0</v>
      </c>
    </row>
    <row r="13" spans="1:11" ht="13.5" thickTop="1" x14ac:dyDescent="0.2">
      <c r="A13" s="2249" t="s">
        <v>388</v>
      </c>
      <c r="B13" s="2250"/>
      <c r="C13" s="2250"/>
      <c r="D13" s="2250"/>
      <c r="E13" s="2251"/>
      <c r="F13" s="786"/>
      <c r="G13" s="787"/>
      <c r="H13" s="788"/>
      <c r="I13" s="789"/>
      <c r="J13" s="789"/>
      <c r="K13" s="789"/>
    </row>
    <row r="14" spans="1:11" x14ac:dyDescent="0.2">
      <c r="A14" s="2271" t="s">
        <v>476</v>
      </c>
      <c r="B14" s="2271"/>
      <c r="C14" s="2271"/>
      <c r="D14" s="2271"/>
      <c r="E14" s="2272"/>
      <c r="F14" s="790" t="s">
        <v>909</v>
      </c>
      <c r="G14" s="783"/>
      <c r="H14" s="765"/>
      <c r="I14" s="772"/>
      <c r="J14" s="774"/>
      <c r="K14" s="766"/>
    </row>
    <row r="15" spans="1:11" x14ac:dyDescent="0.2">
      <c r="A15" s="2238" t="s">
        <v>4</v>
      </c>
      <c r="B15" s="2238"/>
      <c r="C15" s="2238"/>
      <c r="D15" s="2238"/>
      <c r="E15" s="2266"/>
      <c r="F15" s="790" t="s">
        <v>910</v>
      </c>
      <c r="G15" s="772"/>
      <c r="H15" s="765"/>
      <c r="I15" s="765"/>
      <c r="J15" s="766"/>
      <c r="K15" s="766"/>
    </row>
    <row r="16" spans="1:11" x14ac:dyDescent="0.2">
      <c r="A16" s="2238" t="s">
        <v>316</v>
      </c>
      <c r="B16" s="2238"/>
      <c r="C16" s="2238"/>
      <c r="D16" s="2238"/>
      <c r="E16" s="2266"/>
      <c r="F16" s="790" t="s">
        <v>980</v>
      </c>
      <c r="G16" s="773"/>
      <c r="H16" s="768"/>
      <c r="I16" s="768"/>
      <c r="J16" s="770"/>
      <c r="K16" s="770"/>
    </row>
    <row r="17" spans="1:11" x14ac:dyDescent="0.2">
      <c r="A17" s="2260" t="s">
        <v>992</v>
      </c>
      <c r="B17" s="2260"/>
      <c r="C17" s="2260"/>
      <c r="D17" s="2260"/>
      <c r="E17" s="2261"/>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73" t="s">
        <v>1913</v>
      </c>
      <c r="B19" s="2273"/>
      <c r="C19" s="2273"/>
      <c r="D19" s="2273"/>
      <c r="E19" s="2274"/>
      <c r="F19" s="790" t="s">
        <v>990</v>
      </c>
      <c r="G19" s="783"/>
      <c r="H19" s="783"/>
      <c r="I19" s="783"/>
      <c r="J19" s="766"/>
      <c r="K19" s="796"/>
    </row>
    <row r="20" spans="1:11" x14ac:dyDescent="0.2">
      <c r="A20" s="2252" t="s">
        <v>1918</v>
      </c>
      <c r="B20" s="2253"/>
      <c r="C20" s="2253"/>
      <c r="D20" s="2253"/>
      <c r="E20" s="2254"/>
      <c r="F20" s="790" t="s">
        <v>991</v>
      </c>
      <c r="G20" s="783"/>
      <c r="H20" s="783"/>
      <c r="I20" s="783"/>
      <c r="J20" s="766"/>
      <c r="K20" s="796"/>
    </row>
    <row r="21" spans="1:11" ht="13.5" thickBot="1" x14ac:dyDescent="0.25">
      <c r="A21" s="2258" t="s">
        <v>659</v>
      </c>
      <c r="B21" s="2258"/>
      <c r="C21" s="2258"/>
      <c r="D21" s="2258"/>
      <c r="E21" s="2258"/>
      <c r="F21" s="1781"/>
      <c r="G21" s="793"/>
      <c r="H21" s="797"/>
      <c r="I21" s="797"/>
      <c r="J21" s="1782">
        <f>SUM(J18:J20)</f>
        <v>0</v>
      </c>
      <c r="K21" s="794"/>
    </row>
    <row r="22" spans="1:11" ht="13.5" thickTop="1" x14ac:dyDescent="0.2">
      <c r="A22" s="2238" t="s">
        <v>1919</v>
      </c>
      <c r="B22" s="2238"/>
      <c r="C22" s="2238"/>
      <c r="D22" s="2238"/>
      <c r="E22" s="2266"/>
      <c r="F22" s="790" t="s">
        <v>917</v>
      </c>
      <c r="G22" s="783"/>
      <c r="H22" s="765"/>
      <c r="I22" s="765"/>
      <c r="J22" s="798"/>
      <c r="K22" s="766"/>
    </row>
    <row r="23" spans="1:11" ht="13.5" thickBot="1" x14ac:dyDescent="0.25">
      <c r="A23" s="2259" t="s">
        <v>962</v>
      </c>
      <c r="B23" s="2258"/>
      <c r="C23" s="2258"/>
      <c r="D23" s="2258"/>
      <c r="E23" s="2258"/>
      <c r="F23" s="1783"/>
      <c r="G23" s="1780">
        <f>SUM(G14:G16,G21,G22)</f>
        <v>0</v>
      </c>
      <c r="H23" s="1780">
        <f>SUM(H14:H16,H21,H22)</f>
        <v>0</v>
      </c>
      <c r="I23" s="1780">
        <f>SUM(I14:I16,I21,I22)</f>
        <v>0</v>
      </c>
      <c r="J23" s="1780">
        <f>SUM(J14:J16,J21,J22)</f>
        <v>0</v>
      </c>
      <c r="K23" s="1780">
        <f>SUM(K14:K16,K21,K22)</f>
        <v>0</v>
      </c>
    </row>
    <row r="24" spans="1:11" ht="14.25" thickTop="1" thickBot="1" x14ac:dyDescent="0.25">
      <c r="A24" s="2259" t="s">
        <v>2023</v>
      </c>
      <c r="B24" s="2258"/>
      <c r="C24" s="2258"/>
      <c r="D24" s="2258"/>
      <c r="E24" s="2258"/>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8"/>
      <c r="I31" s="2269"/>
      <c r="J31" s="2269"/>
      <c r="K31" s="2269"/>
    </row>
    <row r="32" spans="1:11" x14ac:dyDescent="0.2">
      <c r="A32" s="810"/>
      <c r="B32" s="237"/>
      <c r="C32" s="237"/>
      <c r="D32" s="237"/>
      <c r="E32" s="806"/>
      <c r="F32" s="812" t="s">
        <v>561</v>
      </c>
      <c r="G32" s="765"/>
      <c r="H32" s="2270"/>
      <c r="I32" s="2269"/>
      <c r="J32" s="2269"/>
      <c r="K32" s="2269"/>
    </row>
    <row r="33" spans="1:11" ht="1.5" customHeight="1" x14ac:dyDescent="0.2">
      <c r="A33" s="813" t="s">
        <v>1231</v>
      </c>
      <c r="B33" s="364"/>
      <c r="C33" s="364"/>
      <c r="D33" s="364"/>
      <c r="E33" s="364"/>
      <c r="F33" s="364"/>
      <c r="G33" s="814"/>
      <c r="H33" s="2270"/>
      <c r="I33" s="2269"/>
      <c r="J33" s="2269"/>
      <c r="K33" s="2269"/>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39"/>
      <c r="C41" s="2239"/>
      <c r="D41" s="2239"/>
      <c r="E41" s="2239"/>
      <c r="F41" s="224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verticalCentered="1" gridLine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I22" sqref="I22:S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2032</v>
      </c>
      <c r="B1" s="2278"/>
      <c r="C1" s="2279"/>
      <c r="D1" s="827"/>
      <c r="E1" s="828"/>
      <c r="F1" s="828"/>
      <c r="G1" s="829"/>
      <c r="H1" s="830"/>
      <c r="I1" s="831"/>
      <c r="J1" s="2275"/>
      <c r="K1" s="2276"/>
      <c r="L1" s="2276"/>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9267</v>
      </c>
      <c r="D10" s="847">
        <v>5462</v>
      </c>
      <c r="E10" s="847"/>
      <c r="F10" s="1786">
        <f>(C10+D10)-E10</f>
        <v>14729</v>
      </c>
      <c r="G10" s="844">
        <v>20</v>
      </c>
      <c r="H10" s="848">
        <v>2158</v>
      </c>
      <c r="I10" s="848">
        <v>736</v>
      </c>
      <c r="J10" s="848"/>
      <c r="K10" s="1791">
        <f>(H10+I10)-J10</f>
        <v>2894</v>
      </c>
      <c r="L10" s="1791">
        <f>F10-K10</f>
        <v>11835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217272</v>
      </c>
      <c r="D12" s="845">
        <v>26759</v>
      </c>
      <c r="E12" s="845">
        <v>15075</v>
      </c>
      <c r="F12" s="1782">
        <f>(C12+D12)-E12</f>
        <v>228956</v>
      </c>
      <c r="G12" s="844">
        <v>10</v>
      </c>
      <c r="H12" s="766">
        <v>175651</v>
      </c>
      <c r="I12" s="766">
        <v>10374</v>
      </c>
      <c r="J12" s="766">
        <v>14816</v>
      </c>
      <c r="K12" s="1791">
        <f>(H12+I12)-J12</f>
        <v>171209</v>
      </c>
      <c r="L12" s="1791">
        <f>F12-K12</f>
        <v>57747</v>
      </c>
    </row>
    <row r="13" spans="1:14" ht="14.25" thickTop="1" thickBot="1" x14ac:dyDescent="0.25">
      <c r="A13" s="849" t="s">
        <v>1184</v>
      </c>
      <c r="B13" s="841">
        <v>252</v>
      </c>
      <c r="C13" s="845">
        <v>119411</v>
      </c>
      <c r="D13" s="845">
        <v>12517</v>
      </c>
      <c r="E13" s="845">
        <v>675</v>
      </c>
      <c r="F13" s="1782">
        <f>(C13+D13)-E13</f>
        <v>131253</v>
      </c>
      <c r="G13" s="844">
        <v>5</v>
      </c>
      <c r="H13" s="766">
        <v>77748</v>
      </c>
      <c r="I13" s="766">
        <v>16528</v>
      </c>
      <c r="J13" s="766">
        <v>675</v>
      </c>
      <c r="K13" s="1791">
        <f>(H13+I13)-J13</f>
        <v>93601</v>
      </c>
      <c r="L13" s="1791">
        <f>F13-K13</f>
        <v>37652</v>
      </c>
    </row>
    <row r="14" spans="1:14" ht="14.25" thickTop="1" thickBot="1" x14ac:dyDescent="0.25">
      <c r="A14" s="849" t="s">
        <v>1185</v>
      </c>
      <c r="B14" s="841">
        <v>253</v>
      </c>
      <c r="C14" s="766">
        <v>6091</v>
      </c>
      <c r="D14" s="766"/>
      <c r="E14" s="766"/>
      <c r="F14" s="1782">
        <f>(C14+D14)-E14</f>
        <v>6091</v>
      </c>
      <c r="G14" s="844">
        <v>3</v>
      </c>
      <c r="H14" s="766">
        <v>6091</v>
      </c>
      <c r="I14" s="766"/>
      <c r="J14" s="766"/>
      <c r="K14" s="1791">
        <f>(H14+I14)-J14</f>
        <v>6091</v>
      </c>
      <c r="L14" s="1791">
        <f>F14-K14</f>
        <v>0</v>
      </c>
    </row>
    <row r="15" spans="1:14" ht="15" customHeight="1" thickTop="1" thickBot="1" x14ac:dyDescent="0.25">
      <c r="A15" s="1653" t="s">
        <v>549</v>
      </c>
      <c r="B15" s="1652">
        <v>260</v>
      </c>
      <c r="C15" s="845"/>
      <c r="D15" s="845">
        <v>161598</v>
      </c>
      <c r="E15" s="845"/>
      <c r="F15" s="1782">
        <f>(C15+D15)-E15</f>
        <v>161598</v>
      </c>
      <c r="G15" s="850" t="s">
        <v>917</v>
      </c>
      <c r="H15" s="782"/>
      <c r="I15" s="782"/>
      <c r="J15" s="782"/>
      <c r="K15" s="782"/>
      <c r="L15" s="1791">
        <f>F15-K15</f>
        <v>161598</v>
      </c>
    </row>
    <row r="16" spans="1:14" ht="15" customHeight="1" thickTop="1" thickBot="1" x14ac:dyDescent="0.25">
      <c r="A16" s="1787" t="s">
        <v>664</v>
      </c>
      <c r="B16" s="1788">
        <v>200</v>
      </c>
      <c r="C16" s="1782">
        <f>SUM(C3,C5:C6,C8:C10,C12:C15)</f>
        <v>352041</v>
      </c>
      <c r="D16" s="1782">
        <f>SUM(D3,D5:D6,D8:D10,D12:D15)</f>
        <v>206336</v>
      </c>
      <c r="E16" s="1782">
        <f>SUM(E3,E5:E6,E8:E10,E12:E15)</f>
        <v>15750</v>
      </c>
      <c r="F16" s="1782">
        <f>SUM(F3,F5:F6,F8:F10,F12:F15)</f>
        <v>542627</v>
      </c>
      <c r="G16" s="844"/>
      <c r="H16" s="1782">
        <f>SUM(H3,H6,H8:H10,H12:H14,)</f>
        <v>261648</v>
      </c>
      <c r="I16" s="1782">
        <f>SUM(I3,I6,I8:I10,I12:I14,)</f>
        <v>27638</v>
      </c>
      <c r="J16" s="1782">
        <f>SUM(J3,J6,J8:J10,J12:J14,)</f>
        <v>15491</v>
      </c>
      <c r="K16" s="1782">
        <f>(H16+I16)-J16</f>
        <v>273795</v>
      </c>
      <c r="L16" s="1782">
        <f>F16-K16</f>
        <v>268832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27638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verticalCentered="1" gridLines="1"/>
  <pageMargins left="1" right="1" top="0.75" bottom="0.75" header="1" footer="0.75"/>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I22" sqref="I22:S22"/>
      <selection pane="bottomLeft" activeCell="I22" sqref="I22:S2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2849829</v>
      </c>
      <c r="G8" s="866"/>
    </row>
    <row r="9" spans="1:7" x14ac:dyDescent="0.2">
      <c r="A9" s="870" t="s">
        <v>480</v>
      </c>
      <c r="B9" s="871" t="s">
        <v>1986</v>
      </c>
      <c r="C9" s="872"/>
      <c r="D9" s="870" t="s">
        <v>522</v>
      </c>
      <c r="E9" s="869"/>
      <c r="F9" s="1935">
        <f>'Expenditures 15-22'!K151</f>
        <v>168141</v>
      </c>
      <c r="G9" s="873"/>
    </row>
    <row r="10" spans="1:7" x14ac:dyDescent="0.2">
      <c r="A10" s="870" t="s">
        <v>520</v>
      </c>
      <c r="B10" s="871" t="s">
        <v>1987</v>
      </c>
      <c r="C10" s="872"/>
      <c r="D10" s="870" t="s">
        <v>522</v>
      </c>
      <c r="E10" s="869"/>
      <c r="F10" s="1935">
        <f>'Expenditures 15-22'!K174</f>
        <v>0</v>
      </c>
      <c r="G10" s="873"/>
    </row>
    <row r="11" spans="1:7" x14ac:dyDescent="0.2">
      <c r="A11" s="870" t="s">
        <v>481</v>
      </c>
      <c r="B11" s="871" t="s">
        <v>1988</v>
      </c>
      <c r="C11" s="872"/>
      <c r="D11" s="870" t="s">
        <v>522</v>
      </c>
      <c r="E11" s="869"/>
      <c r="F11" s="1935">
        <f>'Expenditures 15-22'!K210</f>
        <v>0</v>
      </c>
      <c r="G11" s="873"/>
    </row>
    <row r="12" spans="1:7" x14ac:dyDescent="0.2">
      <c r="A12" s="870" t="s">
        <v>482</v>
      </c>
      <c r="B12" s="871" t="s">
        <v>1989</v>
      </c>
      <c r="C12" s="872"/>
      <c r="D12" s="870" t="s">
        <v>522</v>
      </c>
      <c r="E12" s="869"/>
      <c r="F12" s="1935">
        <f>'Expenditures 15-22'!K295</f>
        <v>0</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3017970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585256</v>
      </c>
      <c r="G53" s="866"/>
    </row>
    <row r="54" spans="1:7" x14ac:dyDescent="0.2">
      <c r="A54" s="870" t="s">
        <v>479</v>
      </c>
      <c r="B54" s="870" t="s">
        <v>1552</v>
      </c>
      <c r="C54" s="890" t="s">
        <v>1039</v>
      </c>
      <c r="D54" s="886" t="s">
        <v>1157</v>
      </c>
      <c r="E54" s="869"/>
      <c r="F54" s="1939">
        <f>'Expenditures 15-22'!G114</f>
        <v>38195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168141</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791592</v>
      </c>
      <c r="G76" s="866"/>
    </row>
    <row r="77" spans="1:8" s="894" customFormat="1" ht="12" customHeight="1" thickTop="1" thickBot="1" x14ac:dyDescent="0.25">
      <c r="A77" s="1801"/>
      <c r="B77" s="1798"/>
      <c r="C77" s="1794"/>
      <c r="D77" s="1799" t="s">
        <v>2009</v>
      </c>
      <c r="E77" s="1796"/>
      <c r="F77" s="1802">
        <f>(F14-F76)</f>
        <v>2226378</v>
      </c>
      <c r="G77" s="870"/>
    </row>
    <row r="78" spans="1:8" s="894" customFormat="1" ht="12" customHeight="1" thickTop="1" x14ac:dyDescent="0.2">
      <c r="A78" s="1803"/>
      <c r="B78" s="1798"/>
      <c r="C78" s="1794"/>
      <c r="D78" s="1799" t="s">
        <v>2056</v>
      </c>
      <c r="E78" s="1796"/>
      <c r="F78" s="899">
        <v>0</v>
      </c>
      <c r="G78" s="900"/>
      <c r="H78" s="870"/>
    </row>
    <row r="79" spans="1:8" s="894" customFormat="1" ht="12" customHeight="1" thickBot="1" x14ac:dyDescent="0.25">
      <c r="A79" s="1804"/>
      <c r="B79" s="1798"/>
      <c r="C79" s="1794"/>
      <c r="D79" s="1799" t="s">
        <v>2010</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3718</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105463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286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98105</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11092</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1213701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61622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195796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1689783</v>
      </c>
    </row>
    <row r="179" spans="1:7" ht="12" customHeight="1" x14ac:dyDescent="0.2">
      <c r="A179" s="1792"/>
      <c r="B179" s="1806"/>
      <c r="C179" s="1807"/>
      <c r="D179" s="1808" t="s">
        <v>2012</v>
      </c>
      <c r="E179" s="1809"/>
      <c r="F179" s="1811">
        <f>'PCTC-OEPP 27-28'!F77-F178</f>
        <v>536595</v>
      </c>
    </row>
    <row r="180" spans="1:7" ht="12" customHeight="1" x14ac:dyDescent="0.2">
      <c r="A180" s="1792"/>
      <c r="B180" s="1806"/>
      <c r="C180" s="1807"/>
      <c r="D180" s="1808" t="s">
        <v>1921</v>
      </c>
      <c r="E180" s="1809"/>
      <c r="F180" s="1811">
        <f>'Cap Outlay Deprec 26'!I18</f>
        <v>27638</v>
      </c>
    </row>
    <row r="181" spans="1:7" ht="12" customHeight="1" x14ac:dyDescent="0.2">
      <c r="A181" s="1792"/>
      <c r="B181" s="1806"/>
      <c r="C181" s="1807"/>
      <c r="D181" s="1808" t="s">
        <v>2013</v>
      </c>
      <c r="E181" s="1809"/>
      <c r="F181" s="1811">
        <f>F179+F180</f>
        <v>564233</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2014</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verticalCentered="1" gridLine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58" activePane="bottomLeft" state="frozen"/>
      <selection activeCell="I22" sqref="I22:S22"/>
      <selection pane="bottomLeft" activeCell="I22" sqref="I22:S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4" t="s">
        <v>1922</v>
      </c>
      <c r="B4" s="2295"/>
      <c r="C4" s="2295"/>
      <c r="D4" s="2295"/>
      <c r="E4" s="2295"/>
      <c r="F4" s="2295"/>
      <c r="G4" s="2296"/>
    </row>
    <row r="5" spans="1:7" x14ac:dyDescent="0.25">
      <c r="A5" s="2297"/>
      <c r="B5" s="2298"/>
      <c r="C5" s="2298"/>
      <c r="D5" s="2298"/>
      <c r="E5" s="2298"/>
      <c r="F5" s="2298"/>
      <c r="G5" s="2299"/>
    </row>
    <row r="6" spans="1:7" ht="18.75" x14ac:dyDescent="0.25">
      <c r="A6" s="1556" t="s">
        <v>1923</v>
      </c>
      <c r="B6" s="1557"/>
      <c r="C6" s="1557"/>
      <c r="D6" s="1557"/>
      <c r="E6" s="1557"/>
      <c r="F6" s="1557"/>
      <c r="G6" s="1558"/>
    </row>
    <row r="7" spans="1:7" ht="30.75" customHeight="1" x14ac:dyDescent="0.25">
      <c r="A7" s="2300" t="s">
        <v>2072</v>
      </c>
      <c r="B7" s="2301"/>
      <c r="C7" s="2301"/>
      <c r="D7" s="2301"/>
      <c r="E7" s="2301"/>
      <c r="F7" s="2301"/>
      <c r="G7" s="2302"/>
    </row>
    <row r="8" spans="1:7" ht="15.75" customHeight="1" x14ac:dyDescent="0.25">
      <c r="A8" s="2303" t="s">
        <v>2021</v>
      </c>
      <c r="B8" s="2304"/>
      <c r="C8" s="2304"/>
      <c r="D8" s="2304"/>
      <c r="E8" s="2304"/>
      <c r="F8" s="2304"/>
      <c r="G8" s="2305"/>
    </row>
    <row r="9" spans="1:7" ht="35.25" customHeight="1" x14ac:dyDescent="0.25">
      <c r="A9" s="2300" t="s">
        <v>2020</v>
      </c>
      <c r="B9" s="2301"/>
      <c r="C9" s="2301"/>
      <c r="D9" s="2301"/>
      <c r="E9" s="2301"/>
      <c r="F9" s="2301"/>
      <c r="G9" s="2302"/>
    </row>
    <row r="10" spans="1:7" ht="15" customHeight="1" x14ac:dyDescent="0.25">
      <c r="A10" s="1559" t="s">
        <v>1924</v>
      </c>
      <c r="B10" s="1560"/>
      <c r="C10" s="1560"/>
      <c r="D10" s="1560"/>
      <c r="E10" s="1560"/>
      <c r="F10" s="1560"/>
      <c r="G10" s="1561"/>
    </row>
    <row r="11" spans="1:7" ht="17.25" customHeight="1" x14ac:dyDescent="0.25">
      <c r="A11" s="2300" t="s">
        <v>1938</v>
      </c>
      <c r="B11" s="2301"/>
      <c r="C11" s="2301"/>
      <c r="D11" s="2301"/>
      <c r="E11" s="2301"/>
      <c r="F11" s="2301"/>
      <c r="G11" s="2302"/>
    </row>
    <row r="12" spans="1:7" ht="15" customHeight="1" x14ac:dyDescent="0.25">
      <c r="A12" s="1559" t="s">
        <v>1929</v>
      </c>
      <c r="B12" s="1560"/>
      <c r="C12" s="1560"/>
      <c r="D12" s="1560"/>
      <c r="E12" s="1560"/>
      <c r="F12" s="1560"/>
      <c r="G12" s="1561"/>
    </row>
    <row r="13" spans="1:7" ht="32.25" customHeight="1" x14ac:dyDescent="0.25">
      <c r="A13" s="2291" t="s">
        <v>1930</v>
      </c>
      <c r="B13" s="2292"/>
      <c r="C13" s="2292"/>
      <c r="D13" s="2292"/>
      <c r="E13" s="2292"/>
      <c r="F13" s="2292"/>
      <c r="G13" s="2293"/>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956" t="s">
        <v>2088</v>
      </c>
      <c r="B58" s="1689"/>
      <c r="C58" s="1676"/>
      <c r="D58" s="1867">
        <v>0</v>
      </c>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I22" sqref="I22:S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79433</v>
      </c>
      <c r="F8" s="975"/>
      <c r="G8" s="976"/>
      <c r="H8" s="162"/>
      <c r="I8" s="162"/>
    </row>
    <row r="9" spans="1:9" s="669" customFormat="1" ht="12" customHeight="1" x14ac:dyDescent="0.2">
      <c r="A9" s="971" t="s">
        <v>132</v>
      </c>
      <c r="B9" s="972"/>
      <c r="C9" s="972"/>
      <c r="D9" s="973"/>
      <c r="E9" s="974">
        <v>70786</v>
      </c>
      <c r="F9" s="975"/>
      <c r="G9" s="976"/>
      <c r="H9" s="162"/>
      <c r="I9" s="162"/>
    </row>
    <row r="10" spans="1:9" s="669" customFormat="1" ht="12" customHeight="1" x14ac:dyDescent="0.2">
      <c r="A10" s="971" t="s">
        <v>2073</v>
      </c>
      <c r="B10" s="972"/>
      <c r="C10" s="977"/>
      <c r="D10" s="973"/>
      <c r="E10" s="974">
        <v>931</v>
      </c>
      <c r="F10" s="975"/>
      <c r="G10" s="976"/>
      <c r="H10" s="162"/>
      <c r="I10" s="162"/>
    </row>
    <row r="11" spans="1:9" s="669" customFormat="1" ht="22.5" customHeight="1" x14ac:dyDescent="0.2">
      <c r="A11" s="2311" t="s">
        <v>1942</v>
      </c>
      <c r="B11" s="2312"/>
      <c r="C11" s="2312"/>
      <c r="D11" s="2313"/>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568836</v>
      </c>
      <c r="F19" s="1822"/>
      <c r="G19" s="1824">
        <f>'Expenditures 15-22'!K33-SUM('Expenditures 15-22'!G33,'Expenditures 15-22'!I33)+'Expenditures 15-22'!D229</f>
        <v>568836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863745</v>
      </c>
      <c r="F21" s="1825"/>
      <c r="G21" s="1828">
        <f>'Expenditures 15-22'!K42-SUM('Expenditures 15-22'!G42,'Expenditures 15-22'!I42)+'Expenditures 15-22'!K120-SUM('Expenditures 15-22'!G120,'Expenditures 15-22'!I120)+'Expenditures 15-22'!K180-SUM('Expenditures 15-22'!G180,'Expenditures 15-22'!I180)+'Expenditures 15-22'!D238</f>
        <v>863745</v>
      </c>
      <c r="H21" s="988"/>
      <c r="I21" s="162"/>
    </row>
    <row r="22" spans="1:9" s="669" customFormat="1" ht="12" customHeight="1" x14ac:dyDescent="0.2">
      <c r="A22" s="995" t="s">
        <v>585</v>
      </c>
      <c r="B22" s="996"/>
      <c r="C22" s="994">
        <v>2200</v>
      </c>
      <c r="D22" s="1825"/>
      <c r="E22" s="1827">
        <f>'Expenditures 15-22'!K47-SUM('Expenditures 15-22'!G47,'Expenditures 15-22'!I47)+'Expenditures 15-22'!D243</f>
        <v>70148</v>
      </c>
      <c r="F22" s="1825"/>
      <c r="G22" s="1828">
        <f>'Expenditures 15-22'!K47-SUM('Expenditures 15-22'!G47,'Expenditures 15-22'!I47)+'Expenditures 15-22'!D243</f>
        <v>70148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572497</v>
      </c>
      <c r="F23" s="1825"/>
      <c r="G23" s="1827">
        <f>'Expenditures 15-22'!K53-SUM('Expenditures 15-22'!G53,'Expenditures 15-22'!I53)+'Expenditures 15-22'!D257+'Expenditures 15-22'!K330-SUM('Expenditures 15-22'!G330,'Expenditures 15-22'!I330)</f>
        <v>572497</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79433</v>
      </c>
      <c r="F27" s="1827">
        <f>'Expenditures 15-22'!K60-SUM('Expenditures 15-22'!G60,'Expenditures 15-22'!I60)+'Expenditures 15-22'!D264-E8</f>
        <v>0</v>
      </c>
      <c r="G27" s="1828">
        <f>E8</f>
        <v>79433</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70788</v>
      </c>
      <c r="F28" s="1829">
        <f>'Expenditures 15-22'!K61-SUM('Expenditures 15-22'!G61,'Expenditures 15-22'!I61)+'Expenditures 15-22'!K124-SUM('Expenditures 15-22'!G124,'Expenditures 15-22'!I124)+'Expenditures 15-22'!D266-E9</f>
        <v>2</v>
      </c>
      <c r="G28" s="1828">
        <f>E9</f>
        <v>70786</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2225447</v>
      </c>
      <c r="F41" s="1829">
        <f>SUM(F19:F39)</f>
        <v>2</v>
      </c>
      <c r="G41" s="1829">
        <f>SUM(G19:G40)</f>
        <v>2225445</v>
      </c>
    </row>
    <row r="42" spans="1:7" x14ac:dyDescent="0.2">
      <c r="A42" s="988"/>
      <c r="B42" s="162"/>
      <c r="C42" s="1002"/>
      <c r="D42" s="2309" t="s">
        <v>543</v>
      </c>
      <c r="E42" s="2310"/>
      <c r="F42" s="1003" t="s">
        <v>544</v>
      </c>
      <c r="G42" s="1004"/>
    </row>
    <row r="43" spans="1:7" ht="12" customHeight="1" x14ac:dyDescent="0.2">
      <c r="A43" s="988"/>
      <c r="B43" s="162"/>
      <c r="C43" s="1002"/>
      <c r="D43" s="1830" t="s">
        <v>493</v>
      </c>
      <c r="E43" s="1831">
        <f>D41</f>
        <v>0</v>
      </c>
      <c r="F43" s="1830" t="s">
        <v>495</v>
      </c>
      <c r="G43" s="1831">
        <f>F41</f>
        <v>2</v>
      </c>
    </row>
    <row r="44" spans="1:7" ht="12" customHeight="1" x14ac:dyDescent="0.2">
      <c r="A44" s="988"/>
      <c r="B44" s="162"/>
      <c r="C44" s="1002"/>
      <c r="D44" s="1830" t="s">
        <v>494</v>
      </c>
      <c r="E44" s="1831">
        <f>E41</f>
        <v>2225447</v>
      </c>
      <c r="F44" s="1830" t="s">
        <v>494</v>
      </c>
      <c r="G44" s="1831">
        <f>G41</f>
        <v>2225445</v>
      </c>
    </row>
    <row r="45" spans="1:7" ht="12" customHeight="1" x14ac:dyDescent="0.2">
      <c r="A45" s="988"/>
      <c r="B45" s="162"/>
      <c r="C45" s="162"/>
      <c r="D45" s="1832" t="s">
        <v>1063</v>
      </c>
      <c r="E45" s="1833">
        <f>(E43/E44)</f>
        <v>0</v>
      </c>
      <c r="F45" s="1832" t="s">
        <v>1063</v>
      </c>
      <c r="G45" s="1833">
        <f>(G43/G44)</f>
        <v>8.9869666516134976E-7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gridLine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I22" sqref="I22:S22"/>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7" t="s">
        <v>1446</v>
      </c>
      <c r="B1" s="2317"/>
      <c r="C1" s="2317"/>
      <c r="D1" s="2317"/>
      <c r="E1" s="2317"/>
      <c r="F1" s="2317"/>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8" t="s">
        <v>1627</v>
      </c>
      <c r="B5" s="2319"/>
      <c r="C5" s="2320"/>
      <c r="D5" s="2320"/>
      <c r="E5" s="2320"/>
      <c r="F5" s="2320"/>
    </row>
    <row r="6" spans="1:10" ht="12" customHeight="1" x14ac:dyDescent="0.25">
      <c r="A6" s="1875"/>
      <c r="B6" s="1876"/>
      <c r="C6" s="2321" t="str">
        <f>COVER!A17</f>
        <v>JAMP SpEd Services</v>
      </c>
      <c r="D6" s="2321"/>
      <c r="E6" s="2321"/>
      <c r="F6" s="1877"/>
    </row>
    <row r="7" spans="1:10" ht="11.25" customHeight="1" thickBot="1" x14ac:dyDescent="0.3">
      <c r="A7" s="1875"/>
      <c r="B7" s="1876"/>
      <c r="C7" s="2322">
        <f>COVER!A13</f>
        <v>30077801060</v>
      </c>
      <c r="D7" s="2322"/>
      <c r="E7" s="2322"/>
      <c r="F7" s="1877"/>
    </row>
    <row r="8" spans="1:10" ht="25.5" customHeight="1" thickBot="1" x14ac:dyDescent="0.25">
      <c r="A8" s="1918" t="s">
        <v>2022</v>
      </c>
      <c r="B8" s="1878" t="s">
        <v>2074</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98"/>
      <c r="B39" s="1898"/>
      <c r="C39" s="1898"/>
      <c r="D39" s="1898"/>
      <c r="E39" s="1898"/>
      <c r="F39" s="1898"/>
    </row>
    <row r="40" spans="1:11" s="1895" customFormat="1" ht="12" customHeight="1" x14ac:dyDescent="0.25">
      <c r="A40" s="1899" t="s">
        <v>1458</v>
      </c>
      <c r="B40" s="1900"/>
      <c r="C40" s="2331"/>
      <c r="D40" s="2331"/>
      <c r="E40" s="2331"/>
      <c r="F40" s="2332"/>
      <c r="H40" s="1904"/>
      <c r="I40" s="1904"/>
      <c r="J40" s="1904"/>
      <c r="K40" s="1904"/>
    </row>
    <row r="41" spans="1:11" s="1895" customFormat="1" ht="12" customHeight="1" x14ac:dyDescent="0.25">
      <c r="A41" s="2333"/>
      <c r="B41" s="2334"/>
      <c r="C41" s="2334"/>
      <c r="D41" s="2334"/>
      <c r="E41" s="2334"/>
      <c r="F41" s="2335"/>
      <c r="H41" s="1904"/>
      <c r="I41" s="1904"/>
      <c r="J41" s="1904"/>
      <c r="K41" s="1904"/>
    </row>
    <row r="42" spans="1:11" s="1895" customFormat="1" ht="12" customHeight="1" x14ac:dyDescent="0.25">
      <c r="A42" s="2333"/>
      <c r="B42" s="2334"/>
      <c r="C42" s="2334"/>
      <c r="D42" s="2334"/>
      <c r="E42" s="2334"/>
      <c r="F42" s="2335"/>
      <c r="H42" s="1904"/>
      <c r="I42" s="1904"/>
      <c r="J42" s="1904"/>
      <c r="K42" s="1904"/>
    </row>
    <row r="43" spans="1:11" s="1895" customFormat="1" ht="15" x14ac:dyDescent="0.25">
      <c r="A43" s="2325"/>
      <c r="B43" s="2326"/>
      <c r="C43" s="2326"/>
      <c r="D43" s="2326"/>
      <c r="E43" s="2326"/>
      <c r="F43" s="2327"/>
      <c r="H43" s="1904"/>
      <c r="I43" s="1904"/>
      <c r="J43" s="1904"/>
      <c r="K43" s="1904"/>
    </row>
    <row r="44" spans="1:11" s="1895" customFormat="1" ht="12" hidden="1" customHeight="1" x14ac:dyDescent="0.25">
      <c r="A44" s="2325"/>
      <c r="B44" s="2326"/>
      <c r="C44" s="2326"/>
      <c r="D44" s="2326"/>
      <c r="E44" s="2326"/>
      <c r="F44" s="232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gridLines="1"/>
  <pageMargins left="1" right="1" top="0.75" bottom="0.75" header="0.5" footer="0.5"/>
  <pageSetup scale="67"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I22" sqref="I22:S2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1" t="str">
        <f>COVER!A17</f>
        <v>JAMP SpEd Services</v>
      </c>
      <c r="J6" s="2342"/>
      <c r="Q6" s="1686"/>
    </row>
    <row r="7" spans="1:17" x14ac:dyDescent="0.2">
      <c r="A7" s="2343" t="s">
        <v>924</v>
      </c>
      <c r="B7" s="2344"/>
      <c r="C7" s="2344"/>
      <c r="D7" s="2344"/>
      <c r="E7" s="2345"/>
      <c r="F7" s="1018"/>
      <c r="G7" s="1010"/>
      <c r="H7" s="1017" t="s">
        <v>390</v>
      </c>
      <c r="I7" s="2346">
        <f>COVER!A13</f>
        <v>30077801060</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583300</v>
      </c>
      <c r="F12" s="1040"/>
      <c r="G12" s="1834">
        <f t="shared" ref="G12:G18" si="0">SUM(E12:F12)</f>
        <v>583300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583300</v>
      </c>
      <c r="F19" s="1836">
        <f t="shared" si="2"/>
        <v>0</v>
      </c>
      <c r="G19" s="1836">
        <f t="shared" si="2"/>
        <v>583300</v>
      </c>
      <c r="H19" s="1836">
        <f t="shared" si="2"/>
        <v>0</v>
      </c>
      <c r="I19" s="1836">
        <f t="shared" si="2"/>
        <v>0</v>
      </c>
      <c r="J19" s="1836">
        <f t="shared" si="2"/>
        <v>0</v>
      </c>
    </row>
    <row r="20" spans="1:10" ht="13.5" thickTop="1" x14ac:dyDescent="0.2">
      <c r="A20" s="1036">
        <v>9</v>
      </c>
      <c r="B20" s="2353" t="s">
        <v>1703</v>
      </c>
      <c r="C20" s="2353"/>
      <c r="D20" s="2354"/>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1941</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F66"/>
  <sheetViews>
    <sheetView showGridLines="0" zoomScale="110" zoomScaleNormal="110" workbookViewId="0">
      <selection activeCell="I22" sqref="I22:S22"/>
    </sheetView>
  </sheetViews>
  <sheetFormatPr defaultColWidth="9.140625" defaultRowHeight="12.75" x14ac:dyDescent="0.2"/>
  <cols>
    <col min="1" max="1" width="3" style="329" customWidth="1"/>
    <col min="2" max="2" width="30.28515625" style="329" customWidth="1"/>
    <col min="3" max="3" width="10.28515625" style="329" customWidth="1"/>
    <col min="4" max="4" width="13.7109375" style="329" customWidth="1"/>
    <col min="5" max="5" width="49.140625" style="329" customWidth="1"/>
    <col min="6" max="6" width="11" style="329" customWidth="1"/>
    <col min="7" max="16384" width="9.140625" style="329"/>
  </cols>
  <sheetData>
    <row r="2" spans="1:6" x14ac:dyDescent="0.2">
      <c r="A2" s="389" t="s">
        <v>276</v>
      </c>
    </row>
    <row r="3" spans="1:6" x14ac:dyDescent="0.2">
      <c r="A3" s="329" t="s">
        <v>277</v>
      </c>
    </row>
    <row r="4" spans="1:6" x14ac:dyDescent="0.2">
      <c r="B4" s="1957" t="s">
        <v>2089</v>
      </c>
      <c r="C4" s="1957" t="s">
        <v>1137</v>
      </c>
      <c r="D4" s="1957" t="s">
        <v>2090</v>
      </c>
      <c r="E4" s="1957" t="s">
        <v>502</v>
      </c>
      <c r="F4" s="1957" t="s">
        <v>920</v>
      </c>
    </row>
    <row r="5" spans="1:6" x14ac:dyDescent="0.2">
      <c r="A5" s="1069">
        <v>1</v>
      </c>
      <c r="B5" s="1958">
        <v>1999</v>
      </c>
      <c r="C5" s="1958">
        <v>10</v>
      </c>
      <c r="D5" s="1958"/>
      <c r="E5" s="329" t="s">
        <v>2091</v>
      </c>
      <c r="F5" s="1959">
        <v>268</v>
      </c>
    </row>
    <row r="6" spans="1:6" x14ac:dyDescent="0.2">
      <c r="A6" s="1069"/>
      <c r="B6" s="1958"/>
      <c r="C6" s="1958"/>
      <c r="D6" s="1958"/>
      <c r="F6" s="1959"/>
    </row>
    <row r="7" spans="1:6" x14ac:dyDescent="0.2">
      <c r="A7" s="1069">
        <v>2</v>
      </c>
      <c r="B7" s="1958">
        <v>3999</v>
      </c>
      <c r="C7" s="1958">
        <v>10</v>
      </c>
      <c r="D7" s="1958"/>
      <c r="E7" s="329" t="s">
        <v>2092</v>
      </c>
      <c r="F7" s="1960"/>
    </row>
    <row r="8" spans="1:6" x14ac:dyDescent="0.2">
      <c r="A8" s="1069"/>
      <c r="B8" s="1958"/>
      <c r="C8" s="1958"/>
      <c r="D8" s="1958"/>
      <c r="E8" s="329" t="s">
        <v>2093</v>
      </c>
      <c r="F8" s="1959">
        <v>98105</v>
      </c>
    </row>
    <row r="9" spans="1:6" x14ac:dyDescent="0.2">
      <c r="A9" s="1069"/>
      <c r="B9" s="1958"/>
      <c r="C9" s="1958"/>
      <c r="D9" s="1958"/>
      <c r="F9" s="1960"/>
    </row>
    <row r="10" spans="1:6" x14ac:dyDescent="0.2">
      <c r="A10" s="1069">
        <v>3</v>
      </c>
      <c r="B10" s="1958">
        <v>4190</v>
      </c>
      <c r="C10" s="1958">
        <v>10</v>
      </c>
      <c r="D10" s="1958">
        <v>600</v>
      </c>
      <c r="E10" s="329" t="s">
        <v>2094</v>
      </c>
      <c r="F10" s="1960">
        <v>195796</v>
      </c>
    </row>
    <row r="11" spans="1:6" x14ac:dyDescent="0.2">
      <c r="A11" s="1070"/>
      <c r="E11" s="329" t="s">
        <v>2095</v>
      </c>
      <c r="F11" s="1961">
        <v>45584</v>
      </c>
    </row>
    <row r="12" spans="1:6" x14ac:dyDescent="0.2">
      <c r="A12" s="1069"/>
      <c r="E12" s="329" t="s">
        <v>2097</v>
      </c>
      <c r="F12" s="1961">
        <v>286</v>
      </c>
    </row>
    <row r="13" spans="1:6" x14ac:dyDescent="0.2">
      <c r="A13" s="1070"/>
      <c r="E13" s="329" t="s">
        <v>2096</v>
      </c>
      <c r="F13" s="1961">
        <v>6799</v>
      </c>
    </row>
    <row r="14" spans="1:6" x14ac:dyDescent="0.2">
      <c r="A14" s="1070"/>
      <c r="E14" s="329" t="s">
        <v>2098</v>
      </c>
      <c r="F14" s="1961">
        <v>4293</v>
      </c>
    </row>
    <row r="15" spans="1:6" x14ac:dyDescent="0.2">
      <c r="A15" s="1070"/>
      <c r="E15" s="329" t="s">
        <v>2099</v>
      </c>
      <c r="F15" s="1962">
        <v>158194</v>
      </c>
    </row>
    <row r="16" spans="1:6" x14ac:dyDescent="0.2">
      <c r="A16" s="1070"/>
      <c r="F16" s="1959">
        <f>SUM(F10:F15)</f>
        <v>410952</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JAMP SpEd Services</v>
      </c>
    </row>
    <row r="66" spans="1:2" x14ac:dyDescent="0.2">
      <c r="B66" s="1071">
        <f>COVER!A13</f>
        <v>30077801060</v>
      </c>
    </row>
  </sheetData>
  <phoneticPr fontId="13" type="noConversion"/>
  <printOptions horizontalCentered="1" verticalCentered="1"/>
  <pageMargins left="1" right="1" top="1" bottom="1" header="0.5" footer="1"/>
  <pageSetup scale="72"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1" zoomScale="110" zoomScaleNormal="110" workbookViewId="0">
      <selection activeCell="I22" sqref="I22:S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22" sqref="I22:S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0" t="s">
        <v>1784</v>
      </c>
      <c r="B18" s="236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22" sqref="I22:S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5"/>
      <c r="H2" s="1075"/>
    </row>
    <row r="3" spans="1:8" ht="57" customHeight="1" x14ac:dyDescent="0.2">
      <c r="A3" s="2374" t="s">
        <v>1786</v>
      </c>
      <c r="B3" s="2375"/>
      <c r="C3" s="2375"/>
      <c r="D3" s="2375"/>
      <c r="E3" s="2375"/>
      <c r="F3" s="2376"/>
      <c r="G3" s="1075"/>
      <c r="H3" s="1075"/>
    </row>
    <row r="4" spans="1:8" ht="14.25" customHeight="1" x14ac:dyDescent="0.2">
      <c r="A4" s="2380" t="s">
        <v>2053</v>
      </c>
      <c r="B4" s="2381"/>
      <c r="C4" s="2381"/>
      <c r="D4" s="2381"/>
      <c r="E4" s="2381"/>
      <c r="F4" s="2382"/>
      <c r="G4" s="1075"/>
      <c r="H4" s="1075"/>
    </row>
    <row r="5" spans="1:8" ht="14.25" customHeight="1" x14ac:dyDescent="0.2">
      <c r="A5" s="2383" t="s">
        <v>2054</v>
      </c>
      <c r="B5" s="2384"/>
      <c r="C5" s="2384"/>
      <c r="D5" s="2384"/>
      <c r="E5" s="2384"/>
      <c r="F5" s="2385"/>
      <c r="G5" s="1075"/>
      <c r="H5" s="1075"/>
    </row>
    <row r="6" spans="1:8" s="1076" customFormat="1" ht="41.25" customHeight="1" x14ac:dyDescent="0.2">
      <c r="A6" s="2377" t="s">
        <v>1792</v>
      </c>
      <c r="B6" s="2378"/>
      <c r="C6" s="2378"/>
      <c r="D6" s="2378"/>
      <c r="E6" s="2378"/>
      <c r="F6" s="237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2948348</v>
      </c>
      <c r="C8" s="1838">
        <f>'Acct Summary 7-8'!D8</f>
        <v>75152</v>
      </c>
      <c r="D8" s="1838">
        <f>'Acct Summary 7-8'!F8</f>
        <v>0</v>
      </c>
      <c r="E8" s="1838">
        <f>'Acct Summary 7-8'!I8</f>
        <v>0</v>
      </c>
      <c r="F8" s="1838">
        <f>SUM(B8:E8)</f>
        <v>3023500</v>
      </c>
    </row>
    <row r="9" spans="1:8" s="1080" customFormat="1" ht="14.25" customHeight="1" thickBot="1" x14ac:dyDescent="0.25">
      <c r="A9" s="1079" t="s">
        <v>1436</v>
      </c>
      <c r="B9" s="1839">
        <f>'Acct Summary 7-8'!C17</f>
        <v>2849829</v>
      </c>
      <c r="C9" s="1839">
        <f>'Acct Summary 7-8'!D17</f>
        <v>168141</v>
      </c>
      <c r="D9" s="1839">
        <f>'Acct Summary 7-8'!F17</f>
        <v>0</v>
      </c>
      <c r="E9" s="1838"/>
      <c r="F9" s="1838">
        <f>SUM(B9:E9)</f>
        <v>3017970</v>
      </c>
    </row>
    <row r="10" spans="1:8" s="1080" customFormat="1" ht="14.25" thickTop="1" thickBot="1" x14ac:dyDescent="0.25">
      <c r="A10" s="1081" t="s">
        <v>1437</v>
      </c>
      <c r="B10" s="1840">
        <f>(B8-B9)</f>
        <v>98519</v>
      </c>
      <c r="C10" s="1840">
        <f>(C8-C9)</f>
        <v>-92989</v>
      </c>
      <c r="D10" s="1840">
        <f>(D8-D9)</f>
        <v>0</v>
      </c>
      <c r="E10" s="1839">
        <f>(E8-E9)</f>
        <v>0</v>
      </c>
      <c r="F10" s="1841">
        <f>SUM(F8-F9)</f>
        <v>5530</v>
      </c>
    </row>
    <row r="11" spans="1:8" s="1080" customFormat="1" ht="14.25" thickTop="1" thickBot="1" x14ac:dyDescent="0.25">
      <c r="A11" s="1082" t="s">
        <v>1785</v>
      </c>
      <c r="B11" s="1842">
        <f>'Acct Summary 7-8'!C81</f>
        <v>540767</v>
      </c>
      <c r="C11" s="1842">
        <f>'Acct Summary 7-8'!D81</f>
        <v>-50962</v>
      </c>
      <c r="D11" s="1842">
        <f>'Acct Summary 7-8'!F81</f>
        <v>0</v>
      </c>
      <c r="E11" s="1842">
        <f>'Acct Summary 7-8'!I81</f>
        <v>0</v>
      </c>
      <c r="F11" s="1843">
        <f>SUM(B11:E11)</f>
        <v>489805</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1787</v>
      </c>
      <c r="B16" s="2364"/>
      <c r="C16" s="2364"/>
      <c r="D16" s="2364"/>
      <c r="E16" s="236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gridLine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6" t="s">
        <v>686</v>
      </c>
      <c r="B3" s="2387"/>
      <c r="C3" s="2387"/>
      <c r="D3" s="2388"/>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7" t="s">
        <v>1584</v>
      </c>
      <c r="D7" s="2398"/>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1" t="s">
        <v>332</v>
      </c>
      <c r="D21" s="2402"/>
    </row>
    <row r="22" spans="1:10" ht="12.75" x14ac:dyDescent="0.2">
      <c r="A22" s="1140"/>
      <c r="B22" s="1141">
        <v>2</v>
      </c>
      <c r="C22" s="2399" t="s">
        <v>1605</v>
      </c>
      <c r="D22" s="240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3" t="s">
        <v>557</v>
      </c>
      <c r="D43" s="240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5" t="s">
        <v>817</v>
      </c>
      <c r="D56" s="239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5" t="s">
        <v>1797</v>
      </c>
      <c r="D70" s="239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30077801060</v>
      </c>
    </row>
    <row r="3" spans="1:2" x14ac:dyDescent="0.2">
      <c r="A3" t="s">
        <v>1013</v>
      </c>
      <c r="B3" s="138" t="str">
        <f>COVER!A15</f>
        <v>Johnson, Alexander, Massac &amp; Pulaski</v>
      </c>
    </row>
    <row r="4" spans="1:2" x14ac:dyDescent="0.2">
      <c r="A4" t="s">
        <v>1064</v>
      </c>
      <c r="B4" s="138" t="str">
        <f>COVER!A17</f>
        <v>JAMP SpEd Services</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066-003889</v>
      </c>
    </row>
    <row r="16" spans="1:2" x14ac:dyDescent="0.2">
      <c r="A16" t="s">
        <v>442</v>
      </c>
      <c r="B16" s="138" t="str">
        <f>COVER!T13</f>
        <v>Beussink, Hey, Roe &amp; Stoder, LLC</v>
      </c>
    </row>
    <row r="17" spans="1:2" x14ac:dyDescent="0.2">
      <c r="A17" t="s">
        <v>939</v>
      </c>
      <c r="B17" s="138" t="str">
        <f>COVER!T15</f>
        <v>Jeffrey C. Stroder, CPA</v>
      </c>
    </row>
    <row r="18" spans="1:2" x14ac:dyDescent="0.2">
      <c r="A18" t="s">
        <v>1212</v>
      </c>
      <c r="B18" s="138" t="str">
        <f>COVER!T17</f>
        <v>16 S. Silver Springs Road</v>
      </c>
    </row>
    <row r="19" spans="1:2" x14ac:dyDescent="0.2">
      <c r="A19" t="s">
        <v>941</v>
      </c>
      <c r="B19" s="138" t="str">
        <f>COVER!T25</f>
        <v>jstroder@bhrcpas.com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640802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2154</v>
      </c>
      <c r="D86" s="2" t="str">
        <f t="shared" si="0"/>
        <v>Error?</v>
      </c>
    </row>
    <row r="87" spans="1:4" x14ac:dyDescent="0.2">
      <c r="A87" s="10">
        <v>26</v>
      </c>
      <c r="D87" s="2" t="str">
        <f t="shared" si="0"/>
        <v>OK</v>
      </c>
    </row>
    <row r="88" spans="1:4" x14ac:dyDescent="0.2">
      <c r="A88" s="5">
        <v>27</v>
      </c>
      <c r="B88" s="138">
        <f>'Assets-Liab 5-6'!C32</f>
        <v>97881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100035</v>
      </c>
      <c r="C91" s="2" t="s">
        <v>594</v>
      </c>
      <c r="D91" s="2" t="str">
        <f t="shared" si="0"/>
        <v>Error?</v>
      </c>
    </row>
    <row r="92" spans="1:4" x14ac:dyDescent="0.2">
      <c r="A92" s="5">
        <v>31</v>
      </c>
      <c r="B92" s="138">
        <f>'Assets-Liab 5-6'!C39</f>
        <v>540767</v>
      </c>
      <c r="D92" s="2" t="str">
        <f t="shared" si="0"/>
        <v>Error?</v>
      </c>
    </row>
    <row r="93" spans="1:4" x14ac:dyDescent="0.2">
      <c r="A93" s="5">
        <v>32</v>
      </c>
      <c r="B93" s="138">
        <f>'Assets-Liab 5-6'!C41</f>
        <v>640802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4038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55000</v>
      </c>
      <c r="C122" s="2" t="s">
        <v>594</v>
      </c>
      <c r="D122" s="2" t="str">
        <f t="shared" si="0"/>
        <v>Error?</v>
      </c>
    </row>
    <row r="123" spans="1:4" x14ac:dyDescent="0.2">
      <c r="A123" s="5">
        <v>62</v>
      </c>
      <c r="B123" s="138">
        <f>'Assets-Liab 5-6'!D39</f>
        <v>-50962</v>
      </c>
      <c r="D123" s="2" t="str">
        <f t="shared" si="0"/>
        <v>Error?</v>
      </c>
    </row>
    <row r="124" spans="1:4" x14ac:dyDescent="0.2">
      <c r="A124" s="5">
        <v>63</v>
      </c>
      <c r="B124" s="138">
        <f>'Assets-Liab 5-6'!D41</f>
        <v>4038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14729</v>
      </c>
      <c r="D275" s="2" t="str">
        <f t="shared" si="3"/>
        <v>Error?</v>
      </c>
    </row>
    <row r="276" spans="1:4" x14ac:dyDescent="0.2">
      <c r="A276" s="5">
        <v>215</v>
      </c>
      <c r="B276" s="138">
        <f>'Assets-Liab 5-6'!M19</f>
        <v>366300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542627</v>
      </c>
      <c r="C279" s="2" t="s">
        <v>594</v>
      </c>
      <c r="D279" s="2" t="str">
        <f t="shared" si="3"/>
        <v>Error?</v>
      </c>
    </row>
    <row r="280" spans="1:4" x14ac:dyDescent="0.2">
      <c r="A280" s="5">
        <v>219</v>
      </c>
      <c r="B280" s="138">
        <f>'Assets-Liab 5-6'!M40</f>
        <v>542627</v>
      </c>
      <c r="D280" s="2" t="str">
        <f t="shared" si="3"/>
        <v>Error?</v>
      </c>
    </row>
    <row r="281" spans="1:4" x14ac:dyDescent="0.2">
      <c r="A281" s="5">
        <v>220</v>
      </c>
      <c r="B281" s="138">
        <f>'Assets-Liab 5-6'!M41</f>
        <v>542627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81143</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430654</v>
      </c>
      <c r="C720" s="2" t="s">
        <v>594</v>
      </c>
      <c r="D720" s="2" t="str">
        <f t="shared" si="10"/>
        <v>Error?</v>
      </c>
    </row>
    <row r="721" spans="1:4" x14ac:dyDescent="0.2">
      <c r="A721" s="5">
        <v>660</v>
      </c>
      <c r="B721" s="138">
        <f>'Expenditures 15-22'!C36</f>
        <v>87612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316839</v>
      </c>
      <c r="D723" s="2" t="str">
        <f t="shared" si="10"/>
        <v>Error?</v>
      </c>
    </row>
    <row r="724" spans="1:4" x14ac:dyDescent="0.2">
      <c r="A724" s="5">
        <v>663</v>
      </c>
      <c r="B724" s="138">
        <f>'Expenditures 15-22'!C39</f>
        <v>151512</v>
      </c>
      <c r="D724" s="2" t="str">
        <f t="shared" si="10"/>
        <v>Error?</v>
      </c>
    </row>
    <row r="725" spans="1:4" x14ac:dyDescent="0.2">
      <c r="A725" s="5">
        <v>664</v>
      </c>
      <c r="B725" s="138">
        <f>'Expenditures 15-22'!C40</f>
        <v>120472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676435</v>
      </c>
      <c r="C727" s="2" t="s">
        <v>594</v>
      </c>
      <c r="D727" s="2" t="str">
        <f t="shared" si="10"/>
        <v>Error?</v>
      </c>
    </row>
    <row r="728" spans="1:4" x14ac:dyDescent="0.2">
      <c r="A728" s="5">
        <v>667</v>
      </c>
      <c r="B728" s="138">
        <f>'Expenditures 15-22'!C44</f>
        <v>29888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29888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341589</v>
      </c>
      <c r="D733" s="2" t="str">
        <f t="shared" si="10"/>
        <v>Error?</v>
      </c>
    </row>
    <row r="734" spans="1:4" x14ac:dyDescent="0.2">
      <c r="A734" s="5">
        <v>673</v>
      </c>
      <c r="B734" s="138">
        <f>'Expenditures 15-22'!C53</f>
        <v>341589</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60171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60171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1108083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1538737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14263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79340</v>
      </c>
      <c r="C778" s="2" t="s">
        <v>594</v>
      </c>
      <c r="D778" s="2" t="str">
        <f t="shared" si="11"/>
        <v>Error?</v>
      </c>
    </row>
    <row r="779" spans="1:4" x14ac:dyDescent="0.2">
      <c r="A779" s="5">
        <v>718</v>
      </c>
      <c r="B779" s="138">
        <f>'Expenditures 15-22'!D36</f>
        <v>15753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72487</v>
      </c>
      <c r="D781" s="2" t="str">
        <f t="shared" si="11"/>
        <v>Error?</v>
      </c>
    </row>
    <row r="782" spans="1:4" x14ac:dyDescent="0.2">
      <c r="A782" s="5">
        <v>721</v>
      </c>
      <c r="B782" s="138">
        <f>'Expenditures 15-22'!D39</f>
        <v>27687</v>
      </c>
      <c r="D782" s="2" t="str">
        <f t="shared" si="11"/>
        <v>Error?</v>
      </c>
    </row>
    <row r="783" spans="1:4" x14ac:dyDescent="0.2">
      <c r="A783" s="5">
        <v>722</v>
      </c>
      <c r="B783" s="138">
        <f>'Expenditures 15-22'!D40</f>
        <v>19161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135088</v>
      </c>
      <c r="C785" s="2" t="s">
        <v>594</v>
      </c>
      <c r="D785" s="2" t="str">
        <f t="shared" si="11"/>
        <v>Error?</v>
      </c>
    </row>
    <row r="786" spans="1:4" x14ac:dyDescent="0.2">
      <c r="A786" s="5">
        <v>725</v>
      </c>
      <c r="B786" s="138">
        <f>'Expenditures 15-22'!D44</f>
        <v>7515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7515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65835</v>
      </c>
      <c r="D791" s="2" t="str">
        <f t="shared" si="11"/>
        <v>Error?</v>
      </c>
    </row>
    <row r="792" spans="1:4" x14ac:dyDescent="0.2">
      <c r="A792" s="5">
        <v>731</v>
      </c>
      <c r="B792" s="138">
        <f>'Expenditures 15-22'!D53</f>
        <v>65835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18288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18288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226726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306066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20790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46963</v>
      </c>
      <c r="C836" s="2" t="s">
        <v>594</v>
      </c>
      <c r="D836" s="2" t="str">
        <f t="shared" si="12"/>
        <v>Error?</v>
      </c>
    </row>
    <row r="837" spans="1:4" x14ac:dyDescent="0.2">
      <c r="A837" s="5">
        <v>776</v>
      </c>
      <c r="B837" s="138">
        <f>'Expenditures 15-22'!E36</f>
        <v>1869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16962</v>
      </c>
      <c r="D839" s="2" t="str">
        <f t="shared" si="12"/>
        <v>Error?</v>
      </c>
    </row>
    <row r="840" spans="1:4" x14ac:dyDescent="0.2">
      <c r="A840" s="5">
        <v>779</v>
      </c>
      <c r="B840" s="138">
        <f>'Expenditures 15-22'!E39</f>
        <v>8275</v>
      </c>
      <c r="D840" s="2" t="str">
        <f t="shared" si="12"/>
        <v>Error?</v>
      </c>
    </row>
    <row r="841" spans="1:4" x14ac:dyDescent="0.2">
      <c r="A841" s="5">
        <v>780</v>
      </c>
      <c r="B841" s="138">
        <f>'Expenditures 15-22'!E40</f>
        <v>1856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28962</v>
      </c>
      <c r="C843" s="2" t="s">
        <v>594</v>
      </c>
      <c r="D843" s="2" t="str">
        <f t="shared" si="12"/>
        <v>Error?</v>
      </c>
    </row>
    <row r="844" spans="1:4" x14ac:dyDescent="0.2">
      <c r="A844" s="5">
        <v>783</v>
      </c>
      <c r="B844" s="138">
        <f>'Expenditures 15-22'!E44</f>
        <v>32072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32072</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146759</v>
      </c>
      <c r="D849" s="2" t="str">
        <f t="shared" si="12"/>
        <v>Error?</v>
      </c>
    </row>
    <row r="850" spans="1:4" x14ac:dyDescent="0.2">
      <c r="A850" s="5">
        <v>789</v>
      </c>
      <c r="B850" s="138">
        <f>'Expenditures 15-22'!E53</f>
        <v>146759</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52185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52185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259978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306941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4607</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11879</v>
      </c>
      <c r="C894" s="2" t="s">
        <v>594</v>
      </c>
      <c r="D894" s="2" t="str">
        <f t="shared" si="12"/>
        <v>Error?</v>
      </c>
    </row>
    <row r="895" spans="1:4" x14ac:dyDescent="0.2">
      <c r="A895" s="5">
        <v>834</v>
      </c>
      <c r="B895" s="138">
        <f>'Expenditures 15-22'!F36</f>
        <v>3001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6556</v>
      </c>
      <c r="D897" s="2" t="str">
        <f t="shared" si="13"/>
        <v>Error?</v>
      </c>
    </row>
    <row r="898" spans="1:4" x14ac:dyDescent="0.2">
      <c r="A898" s="5">
        <v>837</v>
      </c>
      <c r="B898" s="138">
        <f>'Expenditures 15-22'!F39</f>
        <v>6864</v>
      </c>
      <c r="D898" s="2" t="str">
        <f t="shared" si="13"/>
        <v>Error?</v>
      </c>
    </row>
    <row r="899" spans="1:4" x14ac:dyDescent="0.2">
      <c r="A899" s="5">
        <v>838</v>
      </c>
      <c r="B899" s="138">
        <f>'Expenditures 15-22'!F40</f>
        <v>6839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23260</v>
      </c>
      <c r="C901" s="2" t="s">
        <v>594</v>
      </c>
      <c r="D901" s="2" t="str">
        <f t="shared" si="13"/>
        <v>Error?</v>
      </c>
    </row>
    <row r="902" spans="1:4" x14ac:dyDescent="0.2">
      <c r="A902" s="5">
        <v>841</v>
      </c>
      <c r="B902" s="138">
        <f>'Expenditures 15-22'!F44</f>
        <v>673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673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18314</v>
      </c>
      <c r="D907" s="2" t="str">
        <f t="shared" si="13"/>
        <v>Error?</v>
      </c>
    </row>
    <row r="908" spans="1:4" x14ac:dyDescent="0.2">
      <c r="A908" s="5">
        <v>847</v>
      </c>
      <c r="B908" s="138">
        <f>'Expenditures 15-22'!F53</f>
        <v>18314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18603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19534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61781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73660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8594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17953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845</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18798</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10803</v>
      </c>
      <c r="D965" s="2" t="str">
        <f t="shared" si="14"/>
        <v>Error?</v>
      </c>
    </row>
    <row r="966" spans="1:4" x14ac:dyDescent="0.2">
      <c r="A966" s="5">
        <v>905</v>
      </c>
      <c r="B966" s="138">
        <f>'Expenditures 15-22'!G53</f>
        <v>10803</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29601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38195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974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974</v>
      </c>
      <c r="C1035" s="2" t="s">
        <v>594</v>
      </c>
      <c r="D1035" s="2" t="str">
        <f t="shared" si="15"/>
        <v>OK</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974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585256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586230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120803</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577430</v>
      </c>
      <c r="C1108" s="2" t="s">
        <v>594</v>
      </c>
      <c r="D1108" s="2" t="str">
        <f t="shared" si="16"/>
        <v>Error?</v>
      </c>
    </row>
    <row r="1109" spans="1:4" x14ac:dyDescent="0.2">
      <c r="A1109" s="5">
        <v>1048</v>
      </c>
      <c r="B1109" s="138">
        <f>'Expenditures 15-22'!K36</f>
        <v>108235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430797</v>
      </c>
      <c r="C1111" s="2" t="s">
        <v>594</v>
      </c>
      <c r="D1111" s="2" t="str">
        <f t="shared" si="16"/>
        <v>Error?</v>
      </c>
    </row>
    <row r="1112" spans="1:4" x14ac:dyDescent="0.2">
      <c r="A1112" s="5">
        <v>1051</v>
      </c>
      <c r="B1112" s="138">
        <f>'Expenditures 15-22'!K39</f>
        <v>194338</v>
      </c>
      <c r="C1112" s="2" t="s">
        <v>594</v>
      </c>
      <c r="D1112" s="2" t="str">
        <f t="shared" si="16"/>
        <v>Error?</v>
      </c>
    </row>
    <row r="1113" spans="1:4" x14ac:dyDescent="0.2">
      <c r="A1113" s="5">
        <v>1052</v>
      </c>
      <c r="B1113" s="138">
        <f>'Expenditures 15-22'!K40</f>
        <v>149173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882543</v>
      </c>
      <c r="C1115" s="2" t="s">
        <v>594</v>
      </c>
      <c r="D1115" s="2" t="str">
        <f t="shared" si="16"/>
        <v>Error?</v>
      </c>
    </row>
    <row r="1116" spans="1:4" x14ac:dyDescent="0.2">
      <c r="A1116" s="5">
        <v>1055</v>
      </c>
      <c r="B1116" s="138">
        <f>'Expenditures 15-22'!K44</f>
        <v>70148</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70148</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583300</v>
      </c>
      <c r="C1121" s="2" t="s">
        <v>594</v>
      </c>
      <c r="D1121" s="2" t="str">
        <f t="shared" si="16"/>
        <v>Error?</v>
      </c>
    </row>
    <row r="1122" spans="1:4" x14ac:dyDescent="0.2">
      <c r="A1122" s="5">
        <v>1061</v>
      </c>
      <c r="B1122" s="138">
        <f>'Expenditures 15-22'!K53</f>
        <v>583300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79433</v>
      </c>
      <c r="C1127" s="2" t="s">
        <v>594</v>
      </c>
      <c r="D1127" s="2" t="str">
        <f t="shared" si="16"/>
        <v>Error?</v>
      </c>
    </row>
    <row r="1128" spans="1:4" x14ac:dyDescent="0.2">
      <c r="A1128" s="5">
        <v>1067</v>
      </c>
      <c r="B1128" s="138">
        <f>'Expenditures 15-22'!K61</f>
        <v>70788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931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151152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1687143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585256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2849829</v>
      </c>
      <c r="C1152" s="2" t="s">
        <v>594</v>
      </c>
      <c r="D1152" s="2" t="str">
        <f t="shared" si="17"/>
        <v>Error?</v>
      </c>
    </row>
    <row r="1153" spans="1:4" x14ac:dyDescent="0.2">
      <c r="A1153" s="5">
        <v>1092</v>
      </c>
      <c r="B1153" s="138">
        <f>'Expenditures 15-22'!K115</f>
        <v>98519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168141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168141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168141</v>
      </c>
      <c r="C1258" s="2" t="s">
        <v>594</v>
      </c>
      <c r="D1258" s="2" t="str">
        <f t="shared" si="18"/>
        <v>Error?</v>
      </c>
    </row>
    <row r="1259" spans="1:4" x14ac:dyDescent="0.2">
      <c r="A1259" s="5">
        <v>1198</v>
      </c>
      <c r="B1259" s="138">
        <f>'Expenditures 15-22'!G151</f>
        <v>168141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168141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168141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168141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168141</v>
      </c>
      <c r="C1288" s="2" t="s">
        <v>594</v>
      </c>
      <c r="D1288" s="2" t="str">
        <f t="shared" si="19"/>
        <v>Error?</v>
      </c>
    </row>
    <row r="1289" spans="1:4" x14ac:dyDescent="0.2">
      <c r="A1289" s="5">
        <v>1228</v>
      </c>
      <c r="B1289" s="138">
        <f>'Expenditures 15-22'!K152</f>
        <v>-92989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442248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540767</v>
      </c>
      <c r="C1630" s="2" t="s">
        <v>594</v>
      </c>
      <c r="D1630" s="2" t="str">
        <f t="shared" si="24"/>
        <v>Error?</v>
      </c>
    </row>
    <row r="1631" spans="1:4" x14ac:dyDescent="0.2">
      <c r="A1631" s="5">
        <v>1570</v>
      </c>
      <c r="B1631" s="138">
        <f>'Acct Summary 7-8'!D79</f>
        <v>42027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-50962</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9267</v>
      </c>
      <c r="D2010" s="2" t="str">
        <f t="shared" si="30"/>
        <v>Error?</v>
      </c>
    </row>
    <row r="2011" spans="1:4" x14ac:dyDescent="0.2">
      <c r="A2011" s="5">
        <v>1950</v>
      </c>
      <c r="B2011" s="138">
        <f>'Cap Outlay Deprec 26'!C12</f>
        <v>217272</v>
      </c>
      <c r="D2011" s="2" t="str">
        <f t="shared" si="30"/>
        <v>Error?</v>
      </c>
    </row>
    <row r="2012" spans="1:4" x14ac:dyDescent="0.2">
      <c r="A2012" s="5">
        <v>1951</v>
      </c>
      <c r="B2012" s="138">
        <f>'Cap Outlay Deprec 26'!C13</f>
        <v>119411</v>
      </c>
      <c r="D2012" s="2" t="str">
        <f t="shared" si="30"/>
        <v>Error?</v>
      </c>
    </row>
    <row r="2013" spans="1:4" x14ac:dyDescent="0.2">
      <c r="A2013" s="5">
        <v>1952</v>
      </c>
      <c r="B2013" s="138">
        <f>'Cap Outlay Deprec 26'!C16</f>
        <v>352041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5462</v>
      </c>
      <c r="D2016" s="2" t="str">
        <f t="shared" si="30"/>
        <v>Error?</v>
      </c>
    </row>
    <row r="2017" spans="1:4" x14ac:dyDescent="0.2">
      <c r="A2017" s="5">
        <v>1956</v>
      </c>
      <c r="B2017" s="138">
        <f>'Cap Outlay Deprec 26'!D12</f>
        <v>26759</v>
      </c>
      <c r="D2017" s="2" t="str">
        <f t="shared" si="30"/>
        <v>Error?</v>
      </c>
    </row>
    <row r="2018" spans="1:4" x14ac:dyDescent="0.2">
      <c r="A2018" s="5">
        <v>1957</v>
      </c>
      <c r="B2018" s="138">
        <f>'Cap Outlay Deprec 26'!D13</f>
        <v>12517</v>
      </c>
      <c r="D2018" s="2" t="str">
        <f t="shared" si="30"/>
        <v>Error?</v>
      </c>
    </row>
    <row r="2019" spans="1:4" x14ac:dyDescent="0.2">
      <c r="A2019" s="5">
        <v>1958</v>
      </c>
      <c r="B2019" s="138">
        <f>'Cap Outlay Deprec 26'!D16</f>
        <v>206336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15075</v>
      </c>
      <c r="D2023" s="2" t="str">
        <f t="shared" si="30"/>
        <v>Error?</v>
      </c>
    </row>
    <row r="2024" spans="1:4" x14ac:dyDescent="0.2">
      <c r="A2024" s="5">
        <v>1963</v>
      </c>
      <c r="B2024" s="138">
        <f>'Cap Outlay Deprec 26'!E13</f>
        <v>675</v>
      </c>
      <c r="D2024" s="2" t="str">
        <f t="shared" si="30"/>
        <v>Error?</v>
      </c>
    </row>
    <row r="2025" spans="1:4" x14ac:dyDescent="0.2">
      <c r="A2025" s="5">
        <v>1964</v>
      </c>
      <c r="B2025" s="138">
        <f>'Cap Outlay Deprec 26'!E16</f>
        <v>15750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14729</v>
      </c>
      <c r="C2028" s="2" t="s">
        <v>594</v>
      </c>
      <c r="D2028" s="2" t="str">
        <f t="shared" si="30"/>
        <v>Error?</v>
      </c>
    </row>
    <row r="2029" spans="1:4" x14ac:dyDescent="0.2">
      <c r="A2029" s="5">
        <v>1968</v>
      </c>
      <c r="B2029" s="138">
        <f>'Cap Outlay Deprec 26'!F12</f>
        <v>228956</v>
      </c>
      <c r="C2029" s="2" t="s">
        <v>594</v>
      </c>
      <c r="D2029" s="2" t="str">
        <f t="shared" si="30"/>
        <v>Error?</v>
      </c>
    </row>
    <row r="2030" spans="1:4" x14ac:dyDescent="0.2">
      <c r="A2030" s="5">
        <v>1969</v>
      </c>
      <c r="B2030" s="138">
        <f>'Cap Outlay Deprec 26'!F13</f>
        <v>131253</v>
      </c>
      <c r="C2030" s="2" t="s">
        <v>594</v>
      </c>
      <c r="D2030" s="2" t="str">
        <f t="shared" si="30"/>
        <v>Error?</v>
      </c>
    </row>
    <row r="2031" spans="1:4" x14ac:dyDescent="0.2">
      <c r="A2031" s="5">
        <v>1970</v>
      </c>
      <c r="B2031" s="138">
        <f>'Cap Outlay Deprec 26'!F16</f>
        <v>542627</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2158</v>
      </c>
      <c r="D2034" s="2" t="str">
        <f t="shared" si="30"/>
        <v>Error?</v>
      </c>
    </row>
    <row r="2035" spans="1:4" x14ac:dyDescent="0.2">
      <c r="A2035" s="5">
        <v>1974</v>
      </c>
      <c r="B2035" s="138">
        <f>'Cap Outlay Deprec 26'!H12</f>
        <v>175651</v>
      </c>
      <c r="D2035" s="2" t="str">
        <f t="shared" si="30"/>
        <v>Error?</v>
      </c>
    </row>
    <row r="2036" spans="1:4" x14ac:dyDescent="0.2">
      <c r="A2036" s="5">
        <v>1975</v>
      </c>
      <c r="B2036" s="138">
        <f>'Cap Outlay Deprec 26'!H13</f>
        <v>77748</v>
      </c>
      <c r="D2036" s="2" t="str">
        <f t="shared" si="30"/>
        <v>Error?</v>
      </c>
    </row>
    <row r="2037" spans="1:4" x14ac:dyDescent="0.2">
      <c r="A2037" s="5">
        <v>1976</v>
      </c>
      <c r="B2037" s="138">
        <f>'Cap Outlay Deprec 26'!H16</f>
        <v>261648</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736</v>
      </c>
      <c r="D2040" s="2" t="str">
        <f t="shared" si="30"/>
        <v>Error?</v>
      </c>
    </row>
    <row r="2041" spans="1:4" x14ac:dyDescent="0.2">
      <c r="A2041" s="5">
        <v>1980</v>
      </c>
      <c r="B2041" s="138">
        <f>'Cap Outlay Deprec 26'!I12</f>
        <v>10374</v>
      </c>
      <c r="D2041" s="2" t="str">
        <f t="shared" si="30"/>
        <v>Error?</v>
      </c>
    </row>
    <row r="2042" spans="1:4" x14ac:dyDescent="0.2">
      <c r="A2042" s="5">
        <v>1981</v>
      </c>
      <c r="B2042" s="138">
        <f>'Cap Outlay Deprec 26'!I13</f>
        <v>16528</v>
      </c>
      <c r="D2042" s="2" t="str">
        <f t="shared" si="30"/>
        <v>Error?</v>
      </c>
    </row>
    <row r="2043" spans="1:4" x14ac:dyDescent="0.2">
      <c r="A2043" s="5">
        <v>1982</v>
      </c>
      <c r="B2043" s="138">
        <f>'Cap Outlay Deprec 26'!I16</f>
        <v>27638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14816</v>
      </c>
      <c r="D2047" s="2" t="str">
        <f t="shared" ref="D2047:D2110" si="31">IF(ISBLANK(B2047),"OK",IF(A2047-B2047=0,"OK","Error?"))</f>
        <v>Error?</v>
      </c>
    </row>
    <row r="2048" spans="1:4" x14ac:dyDescent="0.2">
      <c r="A2048" s="5">
        <v>1987</v>
      </c>
      <c r="B2048" s="138">
        <f>'Cap Outlay Deprec 26'!J13</f>
        <v>675</v>
      </c>
      <c r="D2048" s="2" t="str">
        <f t="shared" si="31"/>
        <v>Error?</v>
      </c>
    </row>
    <row r="2049" spans="1:4" x14ac:dyDescent="0.2">
      <c r="A2049" s="5">
        <v>1988</v>
      </c>
      <c r="B2049" s="138">
        <f>'Cap Outlay Deprec 26'!J16</f>
        <v>15491</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2894</v>
      </c>
      <c r="C2052" s="2" t="s">
        <v>594</v>
      </c>
      <c r="D2052" s="2" t="str">
        <f t="shared" si="31"/>
        <v>Error?</v>
      </c>
    </row>
    <row r="2053" spans="1:4" x14ac:dyDescent="0.2">
      <c r="A2053" s="5">
        <v>1992</v>
      </c>
      <c r="B2053" s="138">
        <f>'Cap Outlay Deprec 26'!K12</f>
        <v>171209</v>
      </c>
      <c r="C2053" s="2" t="s">
        <v>594</v>
      </c>
      <c r="D2053" s="2" t="str">
        <f t="shared" si="31"/>
        <v>Error?</v>
      </c>
    </row>
    <row r="2054" spans="1:4" x14ac:dyDescent="0.2">
      <c r="A2054" s="5">
        <v>1993</v>
      </c>
      <c r="B2054" s="138">
        <f>'Cap Outlay Deprec 26'!K13</f>
        <v>93601</v>
      </c>
      <c r="C2054" s="2" t="s">
        <v>594</v>
      </c>
      <c r="D2054" s="2" t="str">
        <f t="shared" si="31"/>
        <v>Error?</v>
      </c>
    </row>
    <row r="2055" spans="1:4" x14ac:dyDescent="0.2">
      <c r="A2055" s="5">
        <v>1994</v>
      </c>
      <c r="B2055" s="138">
        <f>'Cap Outlay Deprec 26'!K16</f>
        <v>273795</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11835</v>
      </c>
      <c r="C2058" s="2" t="s">
        <v>594</v>
      </c>
      <c r="D2058" s="2" t="str">
        <f t="shared" si="31"/>
        <v>Error?</v>
      </c>
    </row>
    <row r="2059" spans="1:4" x14ac:dyDescent="0.2">
      <c r="A2059" s="5">
        <v>1998</v>
      </c>
      <c r="B2059" s="138">
        <f>'Cap Outlay Deprec 26'!L12</f>
        <v>57747</v>
      </c>
      <c r="C2059" s="2" t="s">
        <v>594</v>
      </c>
      <c r="D2059" s="2" t="str">
        <f t="shared" si="31"/>
        <v>Error?</v>
      </c>
    </row>
    <row r="2060" spans="1:4" x14ac:dyDescent="0.2">
      <c r="A2060" s="5">
        <v>1999</v>
      </c>
      <c r="B2060" s="138">
        <f>'Cap Outlay Deprec 26'!L13</f>
        <v>37652</v>
      </c>
      <c r="C2060" s="2" t="s">
        <v>594</v>
      </c>
      <c r="D2060" s="2" t="str">
        <f t="shared" si="31"/>
        <v>Error?</v>
      </c>
    </row>
    <row r="2061" spans="1:4" x14ac:dyDescent="0.2">
      <c r="A2061" s="5">
        <v>2000</v>
      </c>
      <c r="B2061" s="138">
        <f>'Cap Outlay Deprec 26'!L16</f>
        <v>268832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585256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585256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1060874</v>
      </c>
      <c r="C2551" s="2" t="s">
        <v>594</v>
      </c>
      <c r="D2551" s="2" t="str">
        <f t="shared" si="38"/>
        <v>Error?</v>
      </c>
    </row>
    <row r="2552" spans="1:4" x14ac:dyDescent="0.2">
      <c r="A2552" s="10">
        <v>2491</v>
      </c>
      <c r="D2552" s="2" t="str">
        <f t="shared" si="38"/>
        <v>OK</v>
      </c>
    </row>
    <row r="2553" spans="1:4" x14ac:dyDescent="0.2">
      <c r="A2553" s="5">
        <v>2492</v>
      </c>
      <c r="B2553" s="138">
        <f>'Acct Summary 7-8'!C6</f>
        <v>414780</v>
      </c>
      <c r="C2553" s="2" t="s">
        <v>594</v>
      </c>
      <c r="D2553" s="2" t="str">
        <f t="shared" si="38"/>
        <v>Error?</v>
      </c>
    </row>
    <row r="2554" spans="1:4" x14ac:dyDescent="0.2">
      <c r="A2554" s="5">
        <v>2493</v>
      </c>
      <c r="B2554" s="138">
        <f>'Acct Summary 7-8'!C7</f>
        <v>1472694</v>
      </c>
      <c r="C2554" s="2" t="s">
        <v>594</v>
      </c>
      <c r="D2554" s="2" t="str">
        <f t="shared" si="38"/>
        <v>Error?</v>
      </c>
    </row>
    <row r="2555" spans="1:4" x14ac:dyDescent="0.2">
      <c r="A2555" s="5">
        <v>2494</v>
      </c>
      <c r="B2555" s="138">
        <f>'Acct Summary 7-8'!C8</f>
        <v>2948348</v>
      </c>
      <c r="C2555" s="2" t="s">
        <v>594</v>
      </c>
      <c r="D2555" s="2" t="str">
        <f t="shared" si="38"/>
        <v>Error?</v>
      </c>
    </row>
    <row r="2556" spans="1:4" x14ac:dyDescent="0.2">
      <c r="A2556" s="5">
        <v>2495</v>
      </c>
      <c r="B2556" s="138">
        <f>'Acct Summary 7-8'!C12</f>
        <v>577430</v>
      </c>
      <c r="C2556" s="2" t="s">
        <v>594</v>
      </c>
      <c r="D2556" s="2" t="str">
        <f t="shared" si="38"/>
        <v>Error?</v>
      </c>
    </row>
    <row r="2557" spans="1:4" x14ac:dyDescent="0.2">
      <c r="A2557" s="5">
        <v>2496</v>
      </c>
      <c r="B2557" s="138">
        <f>'Acct Summary 7-8'!C13</f>
        <v>1687143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585256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2849829</v>
      </c>
      <c r="C2561" s="2" t="s">
        <v>594</v>
      </c>
      <c r="D2561" s="2" t="str">
        <f t="shared" si="39"/>
        <v>Error?</v>
      </c>
    </row>
    <row r="2562" spans="1:4" x14ac:dyDescent="0.2">
      <c r="A2562" s="5">
        <v>2501</v>
      </c>
      <c r="B2562" s="138">
        <f>'Acct Summary 7-8'!C20</f>
        <v>98519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3718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71434</v>
      </c>
      <c r="C2567" s="2" t="s">
        <v>594</v>
      </c>
      <c r="D2567" s="2" t="str">
        <f t="shared" si="39"/>
        <v>Error?</v>
      </c>
    </row>
    <row r="2568" spans="1:4" x14ac:dyDescent="0.2">
      <c r="A2568" s="5">
        <v>2507</v>
      </c>
      <c r="B2568" s="138">
        <f>'Acct Summary 7-8'!D8</f>
        <v>75152</v>
      </c>
      <c r="C2568" s="2" t="s">
        <v>594</v>
      </c>
      <c r="D2568" s="2" t="str">
        <f t="shared" si="39"/>
        <v>Error?</v>
      </c>
    </row>
    <row r="2569" spans="1:4" x14ac:dyDescent="0.2">
      <c r="A2569" s="5">
        <v>2508</v>
      </c>
      <c r="B2569" s="138">
        <f>'Acct Summary 7-8'!D13</f>
        <v>168141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168141</v>
      </c>
      <c r="C2573" s="2" t="s">
        <v>594</v>
      </c>
      <c r="D2573" s="2" t="str">
        <f t="shared" si="39"/>
        <v>Error?</v>
      </c>
    </row>
    <row r="2574" spans="1:4" x14ac:dyDescent="0.2">
      <c r="A2574" s="5">
        <v>2513</v>
      </c>
      <c r="B2574" s="138">
        <f>'Acct Summary 7-8'!D20</f>
        <v>-92989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79433</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70786</v>
      </c>
      <c r="D2862" s="2" t="str">
        <f t="shared" si="43"/>
        <v>Error?</v>
      </c>
    </row>
    <row r="2863" spans="1:4" x14ac:dyDescent="0.2">
      <c r="A2863" s="10">
        <v>2802</v>
      </c>
      <c r="D2863" s="2" t="str">
        <f t="shared" si="43"/>
        <v>OK</v>
      </c>
    </row>
    <row r="2864" spans="1:4" x14ac:dyDescent="0.2">
      <c r="A2864" s="5">
        <v>2803</v>
      </c>
      <c r="B2864" s="138">
        <f>'Assets-Liab 5-6'!M20</f>
        <v>161598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952</v>
      </c>
      <c r="D2914" s="2" t="str">
        <f t="shared" si="44"/>
        <v>Error?</v>
      </c>
    </row>
    <row r="2915" spans="1:4" x14ac:dyDescent="0.2">
      <c r="A2915" s="10">
        <v>2854</v>
      </c>
      <c r="D2915" s="2" t="str">
        <f t="shared" si="44"/>
        <v>OK</v>
      </c>
    </row>
    <row r="2916" spans="1:4" x14ac:dyDescent="0.2">
      <c r="A2916" s="5">
        <v>2855</v>
      </c>
      <c r="B2916" s="138">
        <f>'Assets-Liab 5-6'!L34</f>
        <v>952</v>
      </c>
      <c r="C2916" s="2" t="s">
        <v>594</v>
      </c>
      <c r="D2916" s="2" t="str">
        <f t="shared" si="44"/>
        <v>Error?</v>
      </c>
    </row>
    <row r="2917" spans="1:4" x14ac:dyDescent="0.2">
      <c r="A2917" s="5">
        <v>2856</v>
      </c>
      <c r="B2917" s="138">
        <f>'Assets-Liab 5-6'!L41</f>
        <v>952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174304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410952</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174304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410952</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98519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-92989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349511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65077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26173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7272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8594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456627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585802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161598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161598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161598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599297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3547645</v>
      </c>
      <c r="C4122" s="2" t="s">
        <v>594</v>
      </c>
      <c r="D4122" s="2" t="str">
        <f t="shared" si="63"/>
        <v>Error?</v>
      </c>
    </row>
    <row r="4123" spans="1:4" x14ac:dyDescent="0.2">
      <c r="A4123" s="5">
        <v>4062</v>
      </c>
      <c r="B4123" s="138">
        <f>'Acct Summary 7-8'!D10</f>
        <v>75152</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599297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3449126</v>
      </c>
      <c r="C4136" s="2" t="s">
        <v>594</v>
      </c>
      <c r="D4136" s="2" t="str">
        <f t="shared" si="63"/>
        <v>Error?</v>
      </c>
    </row>
    <row r="4137" spans="1:4" x14ac:dyDescent="0.2">
      <c r="A4137" s="5">
        <v>4076</v>
      </c>
      <c r="B4137" s="138">
        <f>'Acct Summary 7-8'!D19</f>
        <v>168141</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489805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61622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195796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98105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1046877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1046877</v>
      </c>
      <c r="C5087" s="2" t="s">
        <v>594</v>
      </c>
      <c r="D5087" s="2" t="str">
        <f t="shared" si="78"/>
        <v>Error?</v>
      </c>
    </row>
    <row r="5088" spans="1:4" x14ac:dyDescent="0.2">
      <c r="A5088" s="5">
        <v>5027</v>
      </c>
      <c r="B5088" s="138">
        <f>'Revenues 9-14'!C65</f>
        <v>4524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4524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9205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268</v>
      </c>
      <c r="D5119" s="2" t="str">
        <f t="shared" ref="D5119:D5182" si="79">IF(ISBLANK(B5119),"OK",IF(A5119-B5119=0,"OK","Error?"))</f>
        <v>Error?</v>
      </c>
    </row>
    <row r="5120" spans="1:4" x14ac:dyDescent="0.2">
      <c r="A5120" s="5">
        <v>5059</v>
      </c>
      <c r="B5120" s="138">
        <f>'Revenues 9-14'!C108</f>
        <v>9473</v>
      </c>
      <c r="C5120" s="2" t="s">
        <v>594</v>
      </c>
      <c r="D5120" s="2" t="str">
        <f t="shared" si="79"/>
        <v>Error?</v>
      </c>
    </row>
    <row r="5121" spans="1:4" x14ac:dyDescent="0.2">
      <c r="A5121" s="5">
        <v>5060</v>
      </c>
      <c r="B5121" s="138">
        <f>'Revenues 9-14'!C109</f>
        <v>1060874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210926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210926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105463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105463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286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203854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414780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6799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4293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11092</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61917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1142267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1204184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1472694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1472694</v>
      </c>
      <c r="C5326" s="2" t="s">
        <v>594</v>
      </c>
      <c r="D5326" s="2" t="str">
        <f t="shared" si="82"/>
        <v>Error?</v>
      </c>
    </row>
    <row r="5327" spans="1:4" x14ac:dyDescent="0.2">
      <c r="A5327" s="5">
        <v>5266</v>
      </c>
      <c r="B5327" s="138">
        <f>'Revenues 9-14'!C275</f>
        <v>2948348</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3718</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3718</v>
      </c>
      <c r="C5355" s="2" t="s">
        <v>594</v>
      </c>
      <c r="D5355" s="2" t="str">
        <f t="shared" si="82"/>
        <v>Error?</v>
      </c>
    </row>
    <row r="5356" spans="1:4" x14ac:dyDescent="0.2">
      <c r="A5356" s="5">
        <v>5295</v>
      </c>
      <c r="B5356" s="138">
        <f>'Revenues 9-14'!D109</f>
        <v>3718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71434</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71434</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71434</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71434</v>
      </c>
      <c r="C5507" s="2" t="s">
        <v>594</v>
      </c>
      <c r="D5507" s="2" t="str">
        <f t="shared" si="85"/>
        <v>Error?</v>
      </c>
    </row>
    <row r="5508" spans="1:4" x14ac:dyDescent="0.2">
      <c r="A5508" s="5">
        <v>5447</v>
      </c>
      <c r="B5508" s="138">
        <f>'Revenues 9-14'!D275</f>
        <v>75152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55000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55000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98519</v>
      </c>
      <c r="D6267" s="2" t="str">
        <f t="shared" si="96"/>
        <v>Error?</v>
      </c>
      <c r="E6267" s="2" t="s">
        <v>199</v>
      </c>
    </row>
    <row r="6268" spans="1:5" x14ac:dyDescent="0.2">
      <c r="A6268">
        <v>6207</v>
      </c>
      <c r="B6268" s="138">
        <f>'Acct Summary 7-8'!D82</f>
        <v>-92989</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0.18218382408689879</v>
      </c>
      <c r="D6276" s="2" t="str">
        <f t="shared" si="97"/>
        <v>Error?</v>
      </c>
      <c r="E6276" s="2" t="s">
        <v>199</v>
      </c>
    </row>
    <row r="6277" spans="1:5" x14ac:dyDescent="0.2">
      <c r="A6277">
        <v>6216</v>
      </c>
      <c r="B6277" s="138">
        <f>'Acct Summary 7-8'!D83</f>
        <v>1.8246732859777874</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6091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6091</v>
      </c>
      <c r="D7618" s="2" t="str">
        <f t="shared" si="124"/>
        <v>Error?</v>
      </c>
      <c r="E7618" s="2" t="s">
        <v>19</v>
      </c>
    </row>
    <row r="7619" spans="1:5" x14ac:dyDescent="0.2">
      <c r="A7619">
        <f t="shared" si="123"/>
        <v>7558</v>
      </c>
      <c r="B7619" s="138">
        <f>'Cap Outlay Deprec 26'!H14</f>
        <v>6091</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6091</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27638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0</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I22" sqref="I22:S2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5" t="s">
        <v>1253</v>
      </c>
      <c r="B2" s="2405"/>
      <c r="C2" s="2405"/>
      <c r="D2" s="2405"/>
      <c r="E2" s="2405"/>
      <c r="F2" s="2405"/>
      <c r="G2" s="2405"/>
      <c r="H2" s="2405"/>
      <c r="I2" s="2405"/>
      <c r="J2" s="2405"/>
      <c r="K2" s="2405"/>
      <c r="L2" s="2405"/>
    </row>
    <row r="3" spans="1:29" ht="13.5" customHeight="1" x14ac:dyDescent="0.2">
      <c r="A3" s="2436" t="s">
        <v>1252</v>
      </c>
      <c r="B3" s="2436"/>
      <c r="C3" s="2436"/>
      <c r="D3" s="2436"/>
      <c r="E3" s="2436"/>
      <c r="F3" s="2436"/>
      <c r="G3" s="2436"/>
      <c r="H3" s="2436"/>
      <c r="I3" s="2436"/>
      <c r="J3" s="2436"/>
      <c r="K3" s="2436"/>
      <c r="L3" s="2436"/>
    </row>
    <row r="4" spans="1:29" ht="13.5" customHeight="1" x14ac:dyDescent="0.2">
      <c r="A4" s="2405" t="s">
        <v>1799</v>
      </c>
      <c r="B4" s="2426"/>
      <c r="C4" s="2426"/>
      <c r="D4" s="2426"/>
      <c r="E4" s="2426"/>
      <c r="F4" s="2426"/>
      <c r="G4" s="2426"/>
      <c r="H4" s="2426"/>
      <c r="I4" s="2426"/>
      <c r="J4" s="2426"/>
      <c r="K4" s="2426"/>
      <c r="L4" s="242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7" t="str">
        <f>COVER!A17</f>
        <v>JAMP SpEd Services</v>
      </c>
      <c r="B7" s="2428"/>
      <c r="C7" s="2428"/>
      <c r="D7" s="2429"/>
      <c r="E7" s="2430">
        <f>COVER!A13</f>
        <v>30077801060</v>
      </c>
      <c r="F7" s="2431"/>
      <c r="G7" s="2437" t="str">
        <f>COVER!T23</f>
        <v>066-003889</v>
      </c>
      <c r="H7" s="2438"/>
      <c r="I7" s="2438"/>
      <c r="J7" s="2438"/>
      <c r="K7" s="2438"/>
      <c r="L7" s="243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0"/>
      <c r="B9" s="2441"/>
      <c r="C9" s="2441"/>
      <c r="D9" s="2441"/>
      <c r="E9" s="2441"/>
      <c r="F9" s="2442"/>
      <c r="G9" s="2411" t="str">
        <f>COVER!T13</f>
        <v>Beussink, Hey, Roe &amp; Stoder, LLC</v>
      </c>
      <c r="H9" s="2443"/>
      <c r="I9" s="2443"/>
      <c r="J9" s="2443"/>
      <c r="K9" s="2443"/>
      <c r="L9" s="2444"/>
    </row>
    <row r="10" spans="1:29" ht="13.5" customHeight="1" x14ac:dyDescent="0.2">
      <c r="A10" s="2417">
        <f>COVER!A38</f>
        <v>0</v>
      </c>
      <c r="B10" s="2418"/>
      <c r="C10" s="2418"/>
      <c r="D10" s="2418"/>
      <c r="E10" s="2418"/>
      <c r="F10" s="2419"/>
      <c r="G10" s="2411" t="str">
        <f>COVER!T17</f>
        <v>16 S. Silver Springs Road</v>
      </c>
      <c r="H10" s="2412"/>
      <c r="I10" s="2412"/>
      <c r="J10" s="2412"/>
      <c r="K10" s="2412"/>
      <c r="L10" s="2413"/>
    </row>
    <row r="11" spans="1:29" ht="13.5" customHeight="1" x14ac:dyDescent="0.2">
      <c r="A11" s="1185" t="s">
        <v>1599</v>
      </c>
      <c r="B11" s="1186"/>
      <c r="C11" s="1187"/>
      <c r="D11" s="1192"/>
      <c r="E11" s="1187"/>
      <c r="F11" s="1191"/>
      <c r="G11" s="2411" t="str">
        <f>COVER!T19</f>
        <v>Cape Girardeau</v>
      </c>
      <c r="H11" s="2412"/>
      <c r="I11" s="2412"/>
      <c r="J11" s="2412"/>
      <c r="K11" s="2412"/>
      <c r="L11" s="2413"/>
    </row>
    <row r="12" spans="1:29" ht="13.5" customHeight="1" x14ac:dyDescent="0.2">
      <c r="A12" s="2420" t="s">
        <v>1598</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1600</v>
      </c>
      <c r="H13" s="2407"/>
      <c r="I13" s="2423" t="str">
        <f>COVER!T25</f>
        <v>jstroder@bhrcpas.com</v>
      </c>
      <c r="J13" s="2424"/>
      <c r="K13" s="2424"/>
      <c r="L13" s="2425"/>
    </row>
    <row r="14" spans="1:29" ht="13.5" customHeight="1" x14ac:dyDescent="0.2">
      <c r="A14" s="2411" t="str">
        <f>COVER!A19</f>
        <v>PO Box 107</v>
      </c>
      <c r="B14" s="2412"/>
      <c r="C14" s="2412"/>
      <c r="D14" s="2412"/>
      <c r="E14" s="2412"/>
      <c r="F14" s="2413"/>
      <c r="G14" s="1196" t="s">
        <v>1247</v>
      </c>
      <c r="H14" s="1194"/>
      <c r="I14" s="1194"/>
      <c r="J14" s="1194"/>
      <c r="K14" s="1194"/>
      <c r="L14" s="1195"/>
    </row>
    <row r="15" spans="1:29" ht="13.5" customHeight="1" x14ac:dyDescent="0.2">
      <c r="A15" s="2411" t="str">
        <f>COVER!A21</f>
        <v>Grand Chain</v>
      </c>
      <c r="B15" s="2412"/>
      <c r="C15" s="2412"/>
      <c r="D15" s="2412"/>
      <c r="E15" s="2412"/>
      <c r="F15" s="2413"/>
      <c r="G15" s="2408" t="str">
        <f>COVER!T15</f>
        <v>Jeffrey C. Stroder, CPA</v>
      </c>
      <c r="H15" s="2409"/>
      <c r="I15" s="2409"/>
      <c r="J15" s="2409"/>
      <c r="K15" s="2409"/>
      <c r="L15" s="2410"/>
    </row>
    <row r="16" spans="1:29" ht="12.2" customHeight="1" x14ac:dyDescent="0.2">
      <c r="A16" s="2433">
        <f>COVER!A25</f>
        <v>62970</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6" t="s">
        <v>1246</v>
      </c>
      <c r="H17" s="1194"/>
      <c r="I17" s="1194"/>
      <c r="J17" s="1194"/>
      <c r="K17" s="1198" t="s">
        <v>1245</v>
      </c>
      <c r="L17" s="1191"/>
      <c r="M17" s="1184"/>
    </row>
    <row r="18" spans="1:13" ht="12.2" customHeight="1" x14ac:dyDescent="0.2">
      <c r="A18" s="2417"/>
      <c r="B18" s="2418"/>
      <c r="C18" s="2418"/>
      <c r="D18" s="2418"/>
      <c r="E18" s="2418"/>
      <c r="F18" s="2419"/>
      <c r="G18" s="2427" t="str">
        <f>COVER!T21</f>
        <v>573-334-7971</v>
      </c>
      <c r="H18" s="2428"/>
      <c r="I18" s="2428"/>
      <c r="J18" s="2428"/>
      <c r="K18" s="2427" t="str">
        <f>COVER!X21</f>
        <v>573-334-8875</v>
      </c>
      <c r="L18" s="243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I22" sqref="I22:S2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JAMP SpEd Services</v>
      </c>
      <c r="B1" s="2426"/>
      <c r="C1" s="2426"/>
      <c r="D1" s="2426"/>
    </row>
    <row r="2" spans="1:11" s="1215" customFormat="1" ht="12.75" x14ac:dyDescent="0.2">
      <c r="A2" s="2450">
        <f>'Single Audit Cover'!E7</f>
        <v>30077801060</v>
      </c>
      <c r="B2" s="2451"/>
      <c r="C2" s="2451"/>
      <c r="D2" s="2451"/>
    </row>
    <row r="3" spans="1:11" s="1215" customFormat="1" ht="12.75" x14ac:dyDescent="0.2">
      <c r="A3" s="2449" t="s">
        <v>1593</v>
      </c>
      <c r="B3" s="2426"/>
      <c r="C3" s="2426"/>
      <c r="D3" s="242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JAMP SpEd Services</v>
      </c>
      <c r="B1" s="2453"/>
      <c r="C1" s="2453"/>
      <c r="D1" s="2453"/>
      <c r="E1" s="2453"/>
    </row>
    <row r="2" spans="1:5" x14ac:dyDescent="0.2">
      <c r="A2" s="2454">
        <f>'Single Audit Cover'!E7</f>
        <v>30077801060</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1544128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-195796</v>
      </c>
    </row>
    <row r="19" spans="1:4" ht="13.5" thickBot="1" x14ac:dyDescent="0.25">
      <c r="A19" s="1265" t="s">
        <v>1297</v>
      </c>
      <c r="D19" s="1266">
        <f>SUM(D10:D17)</f>
        <v>1348332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1348332</v>
      </c>
    </row>
    <row r="33" spans="1:4" x14ac:dyDescent="0.2">
      <c r="D33" s="1269"/>
    </row>
    <row r="34" spans="1:4" x14ac:dyDescent="0.2">
      <c r="A34" s="317" t="s">
        <v>1294</v>
      </c>
    </row>
    <row r="35" spans="1:4" x14ac:dyDescent="0.2">
      <c r="A35" s="317" t="s">
        <v>1293</v>
      </c>
      <c r="B35" s="1258" t="s">
        <v>1292</v>
      </c>
      <c r="D35" s="1270">
        <v>1348332</v>
      </c>
    </row>
    <row r="37" spans="1:4" x14ac:dyDescent="0.2">
      <c r="A37" s="1260" t="s">
        <v>1291</v>
      </c>
    </row>
    <row r="39" spans="1:4" ht="13.35" customHeight="1" x14ac:dyDescent="0.2">
      <c r="A39" s="1267" t="s">
        <v>1290</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1348332</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7" zoomScaleNormal="100" workbookViewId="0">
      <selection activeCell="I22" sqref="I22:S22"/>
    </sheetView>
  </sheetViews>
  <sheetFormatPr defaultColWidth="33.5703125" defaultRowHeight="12.75" x14ac:dyDescent="0.2"/>
  <cols>
    <col min="1" max="1" width="0.140625" style="317" customWidth="1"/>
    <col min="2" max="2" width="37.285156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JAMP SpEd Services</v>
      </c>
      <c r="C1" s="2457"/>
      <c r="D1" s="2457"/>
      <c r="E1" s="2457"/>
      <c r="F1" s="2457"/>
      <c r="G1" s="2457"/>
      <c r="H1" s="2457"/>
      <c r="I1" s="2457"/>
      <c r="J1" s="2457"/>
      <c r="K1" s="2457"/>
      <c r="L1" s="2457"/>
      <c r="M1" s="2457"/>
    </row>
    <row r="2" spans="2:14" ht="15" x14ac:dyDescent="0.2">
      <c r="B2" s="2458">
        <f>'Single Audit Cover'!E7</f>
        <v>30077801060</v>
      </c>
      <c r="C2" s="2458"/>
      <c r="D2" s="2458"/>
      <c r="E2" s="2458"/>
      <c r="F2" s="2458"/>
      <c r="G2" s="2458"/>
      <c r="H2" s="2458"/>
      <c r="I2" s="2458"/>
      <c r="J2" s="2458"/>
      <c r="K2" s="2458"/>
      <c r="L2" s="2458"/>
      <c r="M2" s="2458"/>
      <c r="N2" s="1302"/>
    </row>
    <row r="3" spans="2:14" ht="15" x14ac:dyDescent="0.2">
      <c r="B3" s="2459" t="s">
        <v>1281</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2100</v>
      </c>
      <c r="C11" s="1338"/>
      <c r="D11" s="1339"/>
      <c r="E11" s="1340"/>
      <c r="F11" s="1340"/>
      <c r="G11" s="1340"/>
      <c r="H11" s="1340"/>
      <c r="I11" s="1340"/>
      <c r="J11" s="1340"/>
      <c r="K11" s="1340"/>
      <c r="L11" s="1340"/>
      <c r="M11" s="1340"/>
    </row>
    <row r="12" spans="2:14" ht="20.100000000000001" customHeight="1" x14ac:dyDescent="0.2">
      <c r="B12" s="1337" t="s">
        <v>2101</v>
      </c>
      <c r="C12" s="1341"/>
      <c r="D12" s="1342"/>
      <c r="E12" s="1343"/>
      <c r="F12" s="1343"/>
      <c r="G12" s="1343"/>
      <c r="H12" s="1343"/>
      <c r="I12" s="1343"/>
      <c r="J12" s="1343"/>
      <c r="K12" s="1343"/>
      <c r="L12" s="1340"/>
      <c r="M12" s="1343"/>
    </row>
    <row r="13" spans="2:14" ht="20.100000000000001" customHeight="1" x14ac:dyDescent="0.2">
      <c r="B13" s="1337" t="s">
        <v>2102</v>
      </c>
      <c r="C13" s="1341">
        <v>10.553000000000001</v>
      </c>
      <c r="D13" s="1342" t="s">
        <v>2103</v>
      </c>
      <c r="E13" s="1343">
        <v>6202</v>
      </c>
      <c r="F13" s="1343">
        <v>849</v>
      </c>
      <c r="G13" s="1343">
        <v>6202</v>
      </c>
      <c r="H13" s="1343">
        <v>6202</v>
      </c>
      <c r="I13" s="1343">
        <v>849</v>
      </c>
      <c r="J13" s="1343">
        <v>849</v>
      </c>
      <c r="K13" s="1343"/>
      <c r="L13" s="1340">
        <f t="shared" ref="L13:L24" si="0">+G13+I13+K13</f>
        <v>7051</v>
      </c>
      <c r="M13" s="1343"/>
    </row>
    <row r="14" spans="2:14" ht="20.100000000000001" customHeight="1" x14ac:dyDescent="0.2">
      <c r="B14" s="1337" t="s">
        <v>2102</v>
      </c>
      <c r="C14" s="1341">
        <v>10.553000000000001</v>
      </c>
      <c r="D14" s="1342" t="s">
        <v>2104</v>
      </c>
      <c r="E14" s="1343"/>
      <c r="F14" s="1343">
        <v>3444</v>
      </c>
      <c r="G14" s="1343"/>
      <c r="H14" s="1343"/>
      <c r="I14" s="1343">
        <v>3444</v>
      </c>
      <c r="J14" s="1343">
        <v>3444</v>
      </c>
      <c r="K14" s="1343"/>
      <c r="L14" s="1340">
        <f t="shared" si="0"/>
        <v>3444</v>
      </c>
      <c r="M14" s="1343"/>
    </row>
    <row r="15" spans="2:14" ht="20.100000000000001" customHeight="1" x14ac:dyDescent="0.2">
      <c r="B15" s="1337" t="s">
        <v>2105</v>
      </c>
      <c r="C15" s="1341"/>
      <c r="D15" s="1342"/>
      <c r="E15" s="1343">
        <f t="shared" ref="E15:K15" si="1">E13+E14</f>
        <v>6202</v>
      </c>
      <c r="F15" s="1343">
        <f t="shared" si="1"/>
        <v>4293</v>
      </c>
      <c r="G15" s="1343">
        <f t="shared" si="1"/>
        <v>6202</v>
      </c>
      <c r="H15" s="1343">
        <f t="shared" si="1"/>
        <v>6202</v>
      </c>
      <c r="I15" s="1343">
        <f t="shared" si="1"/>
        <v>4293</v>
      </c>
      <c r="J15" s="1343">
        <f t="shared" si="1"/>
        <v>4293</v>
      </c>
      <c r="K15" s="1343">
        <f t="shared" si="1"/>
        <v>0</v>
      </c>
      <c r="L15" s="1340">
        <f t="shared" si="0"/>
        <v>10495</v>
      </c>
      <c r="M15" s="1343">
        <f>M13+M14</f>
        <v>0</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2101</v>
      </c>
      <c r="C17" s="1341"/>
      <c r="D17" s="1342"/>
      <c r="E17" s="1343"/>
      <c r="F17" s="1343"/>
      <c r="G17" s="1343"/>
      <c r="H17" s="1343"/>
      <c r="I17" s="1343"/>
      <c r="J17" s="1343"/>
      <c r="K17" s="1343"/>
      <c r="L17" s="1340"/>
      <c r="M17" s="1343"/>
    </row>
    <row r="18" spans="2:14" ht="20.100000000000001" customHeight="1" x14ac:dyDescent="0.2">
      <c r="B18" s="1337" t="s">
        <v>2106</v>
      </c>
      <c r="C18" s="1341">
        <v>10.555</v>
      </c>
      <c r="D18" s="1342" t="s">
        <v>2107</v>
      </c>
      <c r="E18" s="1343">
        <v>9513</v>
      </c>
      <c r="F18" s="1343">
        <v>1344</v>
      </c>
      <c r="G18" s="1343">
        <v>9513</v>
      </c>
      <c r="H18" s="1343">
        <v>9513</v>
      </c>
      <c r="I18" s="1343">
        <v>1344</v>
      </c>
      <c r="J18" s="1343">
        <v>1344</v>
      </c>
      <c r="K18" s="1343"/>
      <c r="L18" s="1340">
        <f t="shared" si="0"/>
        <v>10857</v>
      </c>
      <c r="M18" s="1343"/>
    </row>
    <row r="19" spans="2:14" ht="20.100000000000001" customHeight="1" x14ac:dyDescent="0.2">
      <c r="B19" s="1337" t="s">
        <v>2106</v>
      </c>
      <c r="C19" s="1341">
        <v>10.555</v>
      </c>
      <c r="D19" s="1342" t="s">
        <v>2108</v>
      </c>
      <c r="E19" s="1343"/>
      <c r="F19" s="1343">
        <v>5455</v>
      </c>
      <c r="G19" s="1343"/>
      <c r="H19" s="1343"/>
      <c r="I19" s="1343">
        <v>5455</v>
      </c>
      <c r="J19" s="1343">
        <v>5455</v>
      </c>
      <c r="K19" s="1343"/>
      <c r="L19" s="1340">
        <f t="shared" si="0"/>
        <v>5455</v>
      </c>
      <c r="M19" s="1343"/>
    </row>
    <row r="20" spans="2:14" ht="20.100000000000001" customHeight="1" x14ac:dyDescent="0.2">
      <c r="B20" s="1337" t="s">
        <v>2109</v>
      </c>
      <c r="C20" s="1341"/>
      <c r="D20" s="1342"/>
      <c r="E20" s="1343">
        <f t="shared" ref="E20:K20" si="2">E18+E19</f>
        <v>9513</v>
      </c>
      <c r="F20" s="1343">
        <f t="shared" si="2"/>
        <v>6799</v>
      </c>
      <c r="G20" s="1343">
        <f t="shared" si="2"/>
        <v>9513</v>
      </c>
      <c r="H20" s="1343">
        <f t="shared" si="2"/>
        <v>9513</v>
      </c>
      <c r="I20" s="1343">
        <f t="shared" si="2"/>
        <v>6799</v>
      </c>
      <c r="J20" s="1343">
        <f t="shared" si="2"/>
        <v>6799</v>
      </c>
      <c r="K20" s="1343">
        <f t="shared" si="2"/>
        <v>0</v>
      </c>
      <c r="L20" s="1340">
        <f t="shared" si="0"/>
        <v>16312</v>
      </c>
      <c r="M20" s="1343">
        <f>M18+M19</f>
        <v>0</v>
      </c>
    </row>
    <row r="21" spans="2:14" ht="20.100000000000001" customHeight="1" x14ac:dyDescent="0.2">
      <c r="B21" s="1337"/>
      <c r="C21" s="1341"/>
      <c r="D21" s="1342"/>
      <c r="E21" s="1343"/>
      <c r="F21" s="1343"/>
      <c r="G21" s="1343"/>
      <c r="H21" s="1343"/>
      <c r="I21" s="1343"/>
      <c r="J21" s="1343"/>
      <c r="K21" s="1343"/>
      <c r="L21" s="1340"/>
      <c r="M21" s="1343"/>
    </row>
    <row r="22" spans="2:14" ht="21.75" customHeight="1" x14ac:dyDescent="0.2">
      <c r="B22" s="1337" t="s">
        <v>2110</v>
      </c>
      <c r="C22" s="1341"/>
      <c r="D22" s="1342"/>
      <c r="E22" s="1343">
        <f t="shared" ref="E22:K22" si="3">E15+E20</f>
        <v>15715</v>
      </c>
      <c r="F22" s="1343">
        <f t="shared" si="3"/>
        <v>11092</v>
      </c>
      <c r="G22" s="1343">
        <f t="shared" si="3"/>
        <v>15715</v>
      </c>
      <c r="H22" s="1343">
        <f t="shared" si="3"/>
        <v>15715</v>
      </c>
      <c r="I22" s="1343">
        <f t="shared" si="3"/>
        <v>11092</v>
      </c>
      <c r="J22" s="1343">
        <f t="shared" si="3"/>
        <v>11092</v>
      </c>
      <c r="K22" s="1343">
        <f t="shared" si="3"/>
        <v>0</v>
      </c>
      <c r="L22" s="1340">
        <f t="shared" si="0"/>
        <v>26807</v>
      </c>
      <c r="M22" s="1343">
        <f>M15+M20</f>
        <v>0</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2111</v>
      </c>
      <c r="C24" s="1341"/>
      <c r="D24" s="1342"/>
      <c r="E24" s="1343">
        <f t="shared" ref="E24:K24" si="4">E22</f>
        <v>15715</v>
      </c>
      <c r="F24" s="1343">
        <f t="shared" si="4"/>
        <v>11092</v>
      </c>
      <c r="G24" s="1343">
        <f t="shared" si="4"/>
        <v>15715</v>
      </c>
      <c r="H24" s="1343">
        <f t="shared" si="4"/>
        <v>15715</v>
      </c>
      <c r="I24" s="1343">
        <f t="shared" si="4"/>
        <v>11092</v>
      </c>
      <c r="J24" s="1343">
        <f t="shared" si="4"/>
        <v>11092</v>
      </c>
      <c r="K24" s="1343">
        <f t="shared" si="4"/>
        <v>0</v>
      </c>
      <c r="L24" s="1340">
        <f t="shared" si="0"/>
        <v>26807</v>
      </c>
      <c r="M24" s="1343">
        <f>M22</f>
        <v>0</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1" right="1" top="1" bottom="1" header="0.25" footer="0.75"/>
  <pageSetup scale="69"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view="pageBreakPreview" topLeftCell="A8" zoomScale="60" zoomScaleNormal="100" workbookViewId="0">
      <selection activeCell="I22" sqref="I22:S22"/>
    </sheetView>
  </sheetViews>
  <sheetFormatPr defaultColWidth="33.5703125" defaultRowHeight="12.75" x14ac:dyDescent="0.2"/>
  <cols>
    <col min="1" max="1" width="0.140625" style="317" customWidth="1"/>
    <col min="2" max="2" width="39"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JAMP SpEd Services</v>
      </c>
      <c r="C1" s="2457"/>
      <c r="D1" s="2457"/>
      <c r="E1" s="2457"/>
      <c r="F1" s="2457"/>
      <c r="G1" s="2457"/>
      <c r="H1" s="2457"/>
      <c r="I1" s="2457"/>
      <c r="J1" s="2457"/>
      <c r="K1" s="2457"/>
      <c r="L1" s="2457"/>
      <c r="M1" s="2457"/>
    </row>
    <row r="2" spans="2:14" ht="15" x14ac:dyDescent="0.2">
      <c r="B2" s="2458">
        <f>'Single Audit Cover'!E7</f>
        <v>30077801060</v>
      </c>
      <c r="C2" s="2458"/>
      <c r="D2" s="2458"/>
      <c r="E2" s="2458"/>
      <c r="F2" s="2458"/>
      <c r="G2" s="2458"/>
      <c r="H2" s="2458"/>
      <c r="I2" s="2458"/>
      <c r="J2" s="2458"/>
      <c r="K2" s="2458"/>
      <c r="L2" s="2458"/>
      <c r="M2" s="2458"/>
      <c r="N2" s="1302"/>
    </row>
    <row r="3" spans="2:14" ht="15" x14ac:dyDescent="0.2">
      <c r="B3" s="2459" t="s">
        <v>1281</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2112</v>
      </c>
      <c r="C11" s="1338"/>
      <c r="D11" s="1339"/>
      <c r="E11" s="1340"/>
      <c r="F11" s="1340"/>
      <c r="G11" s="1340"/>
      <c r="H11" s="1340"/>
      <c r="I11" s="1340"/>
      <c r="J11" s="1340"/>
      <c r="K11" s="1340"/>
      <c r="L11" s="1340"/>
      <c r="M11" s="1340"/>
    </row>
    <row r="12" spans="2:14" ht="20.100000000000001" customHeight="1" x14ac:dyDescent="0.2">
      <c r="B12" s="1337" t="s">
        <v>2101</v>
      </c>
      <c r="C12" s="1341"/>
      <c r="D12" s="1342"/>
      <c r="E12" s="1343"/>
      <c r="F12" s="1343"/>
      <c r="G12" s="1343"/>
      <c r="H12" s="1343"/>
      <c r="I12" s="1343"/>
      <c r="J12" s="1343"/>
      <c r="K12" s="1343"/>
      <c r="L12" s="1340"/>
      <c r="M12" s="1343"/>
    </row>
    <row r="13" spans="2:14" ht="20.100000000000001" customHeight="1" x14ac:dyDescent="0.2">
      <c r="B13" s="1337" t="s">
        <v>2113</v>
      </c>
      <c r="C13" s="1341">
        <v>84.027000000000001</v>
      </c>
      <c r="D13" s="1342" t="s">
        <v>2114</v>
      </c>
      <c r="E13" s="1343">
        <v>660259</v>
      </c>
      <c r="F13" s="1343">
        <v>205232</v>
      </c>
      <c r="G13" s="1343">
        <v>803027</v>
      </c>
      <c r="H13" s="1343"/>
      <c r="I13" s="1343">
        <v>62464</v>
      </c>
      <c r="J13" s="1343"/>
      <c r="K13" s="1343"/>
      <c r="L13" s="1340">
        <f t="shared" ref="L13:L24" si="0">+G13+I13+K13</f>
        <v>865491</v>
      </c>
      <c r="M13" s="1343">
        <v>937773</v>
      </c>
    </row>
    <row r="14" spans="2:14" ht="20.100000000000001" customHeight="1" x14ac:dyDescent="0.2">
      <c r="B14" s="1337" t="s">
        <v>2113</v>
      </c>
      <c r="C14" s="1341">
        <v>84.027000000000001</v>
      </c>
      <c r="D14" s="1342" t="s">
        <v>2115</v>
      </c>
      <c r="E14" s="1343"/>
      <c r="F14" s="1343">
        <v>1008469</v>
      </c>
      <c r="G14" s="1343"/>
      <c r="H14" s="1343"/>
      <c r="I14" s="1343">
        <v>1269779</v>
      </c>
      <c r="J14" s="1343">
        <v>174305</v>
      </c>
      <c r="K14" s="1343">
        <v>121466</v>
      </c>
      <c r="L14" s="1340">
        <f t="shared" si="0"/>
        <v>1391245</v>
      </c>
      <c r="M14" s="1343">
        <v>1489361</v>
      </c>
    </row>
    <row r="15" spans="2:14" ht="20.100000000000001" customHeight="1" x14ac:dyDescent="0.2">
      <c r="B15" s="1337" t="s">
        <v>2116</v>
      </c>
      <c r="C15" s="1341"/>
      <c r="D15" s="1342"/>
      <c r="E15" s="1343">
        <f t="shared" ref="E15:K15" si="1">E13+E14</f>
        <v>660259</v>
      </c>
      <c r="F15" s="1343">
        <f t="shared" si="1"/>
        <v>1213701</v>
      </c>
      <c r="G15" s="1343">
        <f t="shared" si="1"/>
        <v>803027</v>
      </c>
      <c r="H15" s="1343">
        <f t="shared" si="1"/>
        <v>0</v>
      </c>
      <c r="I15" s="1343">
        <f t="shared" si="1"/>
        <v>1332243</v>
      </c>
      <c r="J15" s="1343">
        <f t="shared" si="1"/>
        <v>174305</v>
      </c>
      <c r="K15" s="1343">
        <f t="shared" si="1"/>
        <v>121466</v>
      </c>
      <c r="L15" s="1340">
        <f t="shared" si="0"/>
        <v>2256736</v>
      </c>
      <c r="M15" s="1343">
        <f>M13+M14</f>
        <v>2427134</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2101</v>
      </c>
      <c r="C17" s="1341"/>
      <c r="D17" s="1342"/>
      <c r="E17" s="1343"/>
      <c r="F17" s="1343"/>
      <c r="G17" s="1343"/>
      <c r="H17" s="1343"/>
      <c r="I17" s="1343"/>
      <c r="J17" s="1343"/>
      <c r="K17" s="1343"/>
      <c r="L17" s="1340"/>
      <c r="M17" s="1343"/>
    </row>
    <row r="18" spans="2:14" ht="20.100000000000001" customHeight="1" x14ac:dyDescent="0.2">
      <c r="B18" s="1337" t="s">
        <v>2117</v>
      </c>
      <c r="C18" s="1341">
        <v>84.173000000000002</v>
      </c>
      <c r="D18" s="1342" t="s">
        <v>2118</v>
      </c>
      <c r="E18" s="1343">
        <v>41550</v>
      </c>
      <c r="F18" s="1343">
        <v>14348</v>
      </c>
      <c r="G18" s="1343">
        <v>49805</v>
      </c>
      <c r="H18" s="1343"/>
      <c r="I18" s="1343">
        <v>6093</v>
      </c>
      <c r="J18" s="1343"/>
      <c r="K18" s="1343"/>
      <c r="L18" s="1340">
        <f t="shared" si="0"/>
        <v>55898</v>
      </c>
      <c r="M18" s="1343">
        <v>55904</v>
      </c>
    </row>
    <row r="19" spans="2:14" ht="20.100000000000001" customHeight="1" x14ac:dyDescent="0.2">
      <c r="B19" s="1337" t="s">
        <v>2117</v>
      </c>
      <c r="C19" s="1341">
        <v>84.173000000000002</v>
      </c>
      <c r="D19" s="1342" t="s">
        <v>2119</v>
      </c>
      <c r="E19" s="1343"/>
      <c r="F19" s="1343">
        <v>47569</v>
      </c>
      <c r="G19" s="1343"/>
      <c r="H19" s="1343"/>
      <c r="I19" s="1343">
        <v>54770</v>
      </c>
      <c r="J19" s="1343"/>
      <c r="K19" s="1343"/>
      <c r="L19" s="1340">
        <f t="shared" si="0"/>
        <v>54770</v>
      </c>
      <c r="M19" s="1343">
        <v>54770</v>
      </c>
    </row>
    <row r="20" spans="2:14" ht="20.100000000000001" customHeight="1" x14ac:dyDescent="0.2">
      <c r="B20" s="1337" t="s">
        <v>2120</v>
      </c>
      <c r="C20" s="1341"/>
      <c r="D20" s="1342"/>
      <c r="E20" s="1343">
        <f t="shared" ref="E20:K20" si="2">E18+E19</f>
        <v>41550</v>
      </c>
      <c r="F20" s="1343">
        <f t="shared" si="2"/>
        <v>61917</v>
      </c>
      <c r="G20" s="1343">
        <f t="shared" si="2"/>
        <v>49805</v>
      </c>
      <c r="H20" s="1343">
        <f t="shared" si="2"/>
        <v>0</v>
      </c>
      <c r="I20" s="1343">
        <f t="shared" si="2"/>
        <v>60863</v>
      </c>
      <c r="J20" s="1343">
        <f t="shared" si="2"/>
        <v>0</v>
      </c>
      <c r="K20" s="1343">
        <f t="shared" si="2"/>
        <v>0</v>
      </c>
      <c r="L20" s="1340">
        <f t="shared" si="0"/>
        <v>110668</v>
      </c>
      <c r="M20" s="1343">
        <f>M18+M19</f>
        <v>110674</v>
      </c>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2121</v>
      </c>
      <c r="C22" s="1341"/>
      <c r="D22" s="1342"/>
      <c r="E22" s="1343">
        <f t="shared" ref="E22:K22" si="3">E15+E20</f>
        <v>701809</v>
      </c>
      <c r="F22" s="1343">
        <f t="shared" si="3"/>
        <v>1275618</v>
      </c>
      <c r="G22" s="1343">
        <f t="shared" si="3"/>
        <v>852832</v>
      </c>
      <c r="H22" s="1343">
        <f t="shared" si="3"/>
        <v>0</v>
      </c>
      <c r="I22" s="1343">
        <f t="shared" si="3"/>
        <v>1393106</v>
      </c>
      <c r="J22" s="1343">
        <f t="shared" si="3"/>
        <v>174305</v>
      </c>
      <c r="K22" s="1343">
        <f t="shared" si="3"/>
        <v>121466</v>
      </c>
      <c r="L22" s="1340">
        <f t="shared" si="0"/>
        <v>2367404</v>
      </c>
      <c r="M22" s="1343">
        <f>M15+M20</f>
        <v>2537808</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2122</v>
      </c>
      <c r="C24" s="1341"/>
      <c r="D24" s="1342"/>
      <c r="E24" s="1343">
        <f t="shared" ref="E24:K24" si="4">E22</f>
        <v>701809</v>
      </c>
      <c r="F24" s="1343">
        <f t="shared" si="4"/>
        <v>1275618</v>
      </c>
      <c r="G24" s="1343">
        <f t="shared" si="4"/>
        <v>852832</v>
      </c>
      <c r="H24" s="1343">
        <f t="shared" si="4"/>
        <v>0</v>
      </c>
      <c r="I24" s="1343">
        <f t="shared" si="4"/>
        <v>1393106</v>
      </c>
      <c r="J24" s="1343">
        <f t="shared" si="4"/>
        <v>174305</v>
      </c>
      <c r="K24" s="1343">
        <f t="shared" si="4"/>
        <v>121466</v>
      </c>
      <c r="L24" s="1340">
        <f t="shared" si="0"/>
        <v>2367404</v>
      </c>
      <c r="M24" s="1343">
        <f>M22</f>
        <v>2537808</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2164</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view="pageBreakPreview" topLeftCell="A6" zoomScale="60" zoomScaleNormal="100" workbookViewId="0">
      <selection activeCell="I22" sqref="I22:S22"/>
    </sheetView>
  </sheetViews>
  <sheetFormatPr defaultColWidth="33.5703125" defaultRowHeight="12.75" x14ac:dyDescent="0.2"/>
  <cols>
    <col min="1" max="1" width="0.140625" style="317" customWidth="1"/>
    <col min="2" max="2" width="42.1406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JAMP SpEd Services</v>
      </c>
      <c r="C1" s="2457"/>
      <c r="D1" s="2457"/>
      <c r="E1" s="2457"/>
      <c r="F1" s="2457"/>
      <c r="G1" s="2457"/>
      <c r="H1" s="2457"/>
      <c r="I1" s="2457"/>
      <c r="J1" s="2457"/>
      <c r="K1" s="2457"/>
      <c r="L1" s="2457"/>
      <c r="M1" s="2457"/>
    </row>
    <row r="2" spans="2:14" ht="15" x14ac:dyDescent="0.2">
      <c r="B2" s="2458">
        <f>'Single Audit Cover'!E7</f>
        <v>30077801060</v>
      </c>
      <c r="C2" s="2458"/>
      <c r="D2" s="2458"/>
      <c r="E2" s="2458"/>
      <c r="F2" s="2458"/>
      <c r="G2" s="2458"/>
      <c r="H2" s="2458"/>
      <c r="I2" s="2458"/>
      <c r="J2" s="2458"/>
      <c r="K2" s="2458"/>
      <c r="L2" s="2458"/>
      <c r="M2" s="2458"/>
      <c r="N2" s="1302"/>
    </row>
    <row r="3" spans="2:14" ht="15" x14ac:dyDescent="0.2">
      <c r="B3" s="2459" t="s">
        <v>1281</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2123</v>
      </c>
      <c r="C11" s="1338"/>
      <c r="D11" s="1339"/>
      <c r="E11" s="1340"/>
      <c r="F11" s="1340"/>
      <c r="G11" s="1340"/>
      <c r="H11" s="1340"/>
      <c r="I11" s="1340"/>
      <c r="J11" s="1340"/>
      <c r="K11" s="1340"/>
      <c r="L11" s="1340"/>
      <c r="M11" s="1340"/>
    </row>
    <row r="12" spans="2:14" ht="20.100000000000001" customHeight="1" x14ac:dyDescent="0.2">
      <c r="B12" s="1337" t="s">
        <v>2124</v>
      </c>
      <c r="C12" s="1341"/>
      <c r="D12" s="1342"/>
      <c r="E12" s="1343"/>
      <c r="F12" s="1343"/>
      <c r="G12" s="1343"/>
      <c r="H12" s="1343"/>
      <c r="I12" s="1343"/>
      <c r="J12" s="1343"/>
      <c r="K12" s="1343"/>
      <c r="L12" s="1340"/>
      <c r="M12" s="1343"/>
    </row>
    <row r="13" spans="2:14" ht="20.100000000000001" customHeight="1" x14ac:dyDescent="0.2">
      <c r="B13" s="1337" t="s">
        <v>2125</v>
      </c>
      <c r="C13" s="1341">
        <v>93.778000000000006</v>
      </c>
      <c r="D13" s="1342" t="s">
        <v>2128</v>
      </c>
      <c r="E13" s="1343">
        <v>14757</v>
      </c>
      <c r="F13" s="1343">
        <v>4212</v>
      </c>
      <c r="G13" s="1343">
        <v>19759</v>
      </c>
      <c r="H13" s="1343"/>
      <c r="I13" s="1343"/>
      <c r="J13" s="1343"/>
      <c r="K13" s="1343"/>
      <c r="L13" s="1340">
        <f t="shared" ref="L13:L22" si="0">+G13+I13+K13</f>
        <v>19759</v>
      </c>
      <c r="M13" s="1343"/>
    </row>
    <row r="14" spans="2:14" ht="20.100000000000001" customHeight="1" x14ac:dyDescent="0.2">
      <c r="B14" s="1337" t="s">
        <v>2125</v>
      </c>
      <c r="C14" s="1341">
        <v>93.778000000000006</v>
      </c>
      <c r="D14" s="1342" t="s">
        <v>2129</v>
      </c>
      <c r="E14" s="1343"/>
      <c r="F14" s="1343">
        <v>11825</v>
      </c>
      <c r="G14" s="1343"/>
      <c r="H14" s="1343"/>
      <c r="I14" s="1343">
        <v>19229</v>
      </c>
      <c r="J14" s="1343"/>
      <c r="K14" s="1343"/>
      <c r="L14" s="1340">
        <f t="shared" si="0"/>
        <v>19229</v>
      </c>
      <c r="M14" s="1343"/>
    </row>
    <row r="15" spans="2:14" ht="20.100000000000001" customHeight="1" x14ac:dyDescent="0.2">
      <c r="B15" s="1337" t="s">
        <v>2126</v>
      </c>
      <c r="C15" s="1341"/>
      <c r="D15" s="1342"/>
      <c r="E15" s="1343"/>
      <c r="F15" s="1343"/>
      <c r="G15" s="1343"/>
      <c r="H15" s="1343"/>
      <c r="I15" s="1343"/>
      <c r="J15" s="1343"/>
      <c r="K15" s="1343"/>
      <c r="L15" s="1340">
        <f t="shared" si="0"/>
        <v>0</v>
      </c>
      <c r="M15" s="1343"/>
    </row>
    <row r="16" spans="2:14" ht="20.100000000000001" customHeight="1" x14ac:dyDescent="0.2">
      <c r="B16" s="1337" t="s">
        <v>2125</v>
      </c>
      <c r="C16" s="1341">
        <v>93.778000000000006</v>
      </c>
      <c r="D16" s="1342" t="s">
        <v>2128</v>
      </c>
      <c r="E16" s="1343">
        <v>43720</v>
      </c>
      <c r="F16" s="1343"/>
      <c r="G16" s="1343">
        <v>42542</v>
      </c>
      <c r="H16" s="1343">
        <v>42542</v>
      </c>
      <c r="I16" s="1343"/>
      <c r="J16" s="1343"/>
      <c r="K16" s="1343"/>
      <c r="L16" s="1340">
        <f t="shared" si="0"/>
        <v>42542</v>
      </c>
      <c r="M16" s="1343"/>
    </row>
    <row r="17" spans="2:14" ht="20.100000000000001" customHeight="1" x14ac:dyDescent="0.2">
      <c r="B17" s="1337" t="s">
        <v>2125</v>
      </c>
      <c r="C17" s="1341">
        <v>93.778000000000006</v>
      </c>
      <c r="D17" s="1342" t="s">
        <v>2129</v>
      </c>
      <c r="E17" s="1343"/>
      <c r="F17" s="1343">
        <v>45585</v>
      </c>
      <c r="G17" s="1343"/>
      <c r="H17" s="1343"/>
      <c r="I17" s="1343">
        <v>47483</v>
      </c>
      <c r="J17" s="1343">
        <v>47483</v>
      </c>
      <c r="K17" s="1343"/>
      <c r="L17" s="1340">
        <f t="shared" si="0"/>
        <v>47483</v>
      </c>
      <c r="M17" s="1343"/>
    </row>
    <row r="18" spans="2:14" ht="20.100000000000001" customHeight="1" x14ac:dyDescent="0.2">
      <c r="B18" s="1337" t="s">
        <v>2127</v>
      </c>
      <c r="C18" s="1341"/>
      <c r="D18" s="1342"/>
      <c r="E18" s="1343">
        <f t="shared" ref="E18:K18" si="1">E13+E14+E16+E17</f>
        <v>58477</v>
      </c>
      <c r="F18" s="1343">
        <f t="shared" si="1"/>
        <v>61622</v>
      </c>
      <c r="G18" s="1343">
        <f t="shared" si="1"/>
        <v>62301</v>
      </c>
      <c r="H18" s="1343">
        <f t="shared" si="1"/>
        <v>42542</v>
      </c>
      <c r="I18" s="1343">
        <f t="shared" si="1"/>
        <v>66712</v>
      </c>
      <c r="J18" s="1343">
        <f t="shared" si="1"/>
        <v>47483</v>
      </c>
      <c r="K18" s="1343">
        <f t="shared" si="1"/>
        <v>0</v>
      </c>
      <c r="L18" s="1340">
        <f t="shared" si="0"/>
        <v>129013</v>
      </c>
      <c r="M18" s="1343">
        <f>M13+M14+M16+M17</f>
        <v>0</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2130</v>
      </c>
      <c r="C20" s="1341"/>
      <c r="D20" s="1342"/>
      <c r="E20" s="1343">
        <f t="shared" ref="E20:K20" si="2">E18</f>
        <v>58477</v>
      </c>
      <c r="F20" s="1343">
        <f t="shared" si="2"/>
        <v>61622</v>
      </c>
      <c r="G20" s="1343">
        <f t="shared" si="2"/>
        <v>62301</v>
      </c>
      <c r="H20" s="1343">
        <f t="shared" si="2"/>
        <v>42542</v>
      </c>
      <c r="I20" s="1343">
        <f t="shared" si="2"/>
        <v>66712</v>
      </c>
      <c r="J20" s="1343">
        <f t="shared" si="2"/>
        <v>47483</v>
      </c>
      <c r="K20" s="1343">
        <f t="shared" si="2"/>
        <v>0</v>
      </c>
      <c r="L20" s="1340">
        <f t="shared" si="0"/>
        <v>129013</v>
      </c>
      <c r="M20" s="1343">
        <f>M18</f>
        <v>0</v>
      </c>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2131</v>
      </c>
      <c r="C22" s="1341"/>
      <c r="D22" s="1342"/>
      <c r="E22" s="1343">
        <f>E20+'SEFA-2'!E24+' SEFA-1'!E24</f>
        <v>776001</v>
      </c>
      <c r="F22" s="1343">
        <f>F20+'SEFA-2'!F24+' SEFA-1'!F24</f>
        <v>1348332</v>
      </c>
      <c r="G22" s="1343">
        <f>G20+'SEFA-2'!G24+' SEFA-1'!G24</f>
        <v>930848</v>
      </c>
      <c r="H22" s="1343">
        <f>H20+'SEFA-2'!H24+' SEFA-1'!H24</f>
        <v>58257</v>
      </c>
      <c r="I22" s="1343">
        <f>I20+'SEFA-2'!I24+' SEFA-1'!I24</f>
        <v>1470910</v>
      </c>
      <c r="J22" s="1343">
        <f>J20+'SEFA-2'!J24+' SEFA-1'!J24</f>
        <v>232880</v>
      </c>
      <c r="K22" s="1343">
        <f>K20+'SEFA-2'!K24+' SEFA-1'!K24</f>
        <v>121466</v>
      </c>
      <c r="L22" s="1340">
        <f t="shared" si="0"/>
        <v>2523224</v>
      </c>
      <c r="M22" s="1343">
        <f>M20+'SEFA-2'!M24+' SEFA-1'!M24</f>
        <v>2537808</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I22" sqref="I22:S2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JAMP SpEd Services</v>
      </c>
      <c r="B1" s="2470"/>
      <c r="C1" s="2470"/>
      <c r="D1" s="2470"/>
      <c r="E1" s="2470"/>
      <c r="F1" s="2470"/>
    </row>
    <row r="2" spans="1:7" ht="13.5" customHeight="1" x14ac:dyDescent="0.2">
      <c r="A2" s="2458">
        <f>'Single Audit Cover'!E7</f>
        <v>30077801060</v>
      </c>
      <c r="B2" s="2458"/>
      <c r="C2" s="2458"/>
      <c r="D2" s="2458"/>
      <c r="E2" s="2458"/>
      <c r="F2" s="2458"/>
      <c r="G2" s="1275"/>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1831</v>
      </c>
      <c r="C6" s="317"/>
      <c r="D6" s="317"/>
    </row>
    <row r="7" spans="1:7" ht="60.95" customHeight="1" x14ac:dyDescent="0.2">
      <c r="A7" s="2469" t="s">
        <v>2132</v>
      </c>
      <c r="B7" s="2469"/>
      <c r="C7" s="2469"/>
      <c r="D7" s="2469"/>
      <c r="E7" s="2469"/>
      <c r="F7" s="246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9" t="s">
        <v>2153</v>
      </c>
      <c r="B13" s="2469"/>
      <c r="C13" s="2469"/>
      <c r="D13" s="2469"/>
      <c r="E13" s="2469"/>
      <c r="F13" s="2469"/>
    </row>
    <row r="14" spans="1:7" ht="9.75" customHeight="1" x14ac:dyDescent="0.2">
      <c r="C14" s="1260"/>
      <c r="D14" s="1260"/>
    </row>
    <row r="15" spans="1:7" ht="13.5" customHeight="1" x14ac:dyDescent="0.2">
      <c r="C15" s="1871" t="s">
        <v>1332</v>
      </c>
      <c r="D15" s="2467" t="s">
        <v>1331</v>
      </c>
      <c r="E15" s="2467"/>
      <c r="F15" s="2467"/>
    </row>
    <row r="16" spans="1:7" ht="13.5" customHeight="1" x14ac:dyDescent="0.2">
      <c r="A16" s="1282"/>
      <c r="B16" s="1276" t="s">
        <v>1330</v>
      </c>
      <c r="C16" s="1871" t="s">
        <v>1329</v>
      </c>
      <c r="D16" s="2468" t="s">
        <v>1670</v>
      </c>
      <c r="E16" s="2468"/>
      <c r="F16" s="2468"/>
    </row>
    <row r="17" spans="1:6" ht="20.45" customHeight="1" x14ac:dyDescent="0.2">
      <c r="A17" s="1283"/>
      <c r="B17" s="1284" t="s">
        <v>2133</v>
      </c>
      <c r="C17" s="1285">
        <v>10.553000000000001</v>
      </c>
      <c r="D17" s="2462">
        <v>4293</v>
      </c>
      <c r="E17" s="2462"/>
      <c r="F17" s="2462"/>
    </row>
    <row r="18" spans="1:6" ht="20.65" customHeight="1" x14ac:dyDescent="0.2">
      <c r="A18" s="1283"/>
      <c r="B18" s="1284" t="s">
        <v>2134</v>
      </c>
      <c r="C18" s="1285">
        <v>10.555</v>
      </c>
      <c r="D18" s="2462">
        <v>6799</v>
      </c>
      <c r="E18" s="2462"/>
      <c r="F18" s="2462"/>
    </row>
    <row r="19" spans="1:6" ht="20.65" customHeight="1" x14ac:dyDescent="0.2">
      <c r="A19" s="1283"/>
      <c r="B19" s="1284" t="s">
        <v>2135</v>
      </c>
      <c r="C19" s="1285">
        <v>93.778000000000006</v>
      </c>
      <c r="D19" s="2462">
        <v>554</v>
      </c>
      <c r="E19" s="2462"/>
      <c r="F19" s="2462"/>
    </row>
    <row r="20" spans="1:6" ht="20.65" customHeight="1" x14ac:dyDescent="0.2">
      <c r="A20" s="1283"/>
      <c r="B20" s="1284" t="s">
        <v>2136</v>
      </c>
      <c r="C20" s="1285">
        <v>93.778000000000006</v>
      </c>
      <c r="D20" s="2462">
        <v>4026</v>
      </c>
      <c r="E20" s="2462"/>
      <c r="F20" s="2462"/>
    </row>
    <row r="21" spans="1:6" ht="20.65" customHeight="1" x14ac:dyDescent="0.2">
      <c r="A21" s="1283"/>
      <c r="B21" s="1284" t="s">
        <v>2137</v>
      </c>
      <c r="C21" s="1285">
        <v>93.778000000000006</v>
      </c>
      <c r="D21" s="2462">
        <v>2685</v>
      </c>
      <c r="E21" s="2462"/>
      <c r="F21" s="2462"/>
    </row>
    <row r="22" spans="1:6" ht="20.65" customHeight="1" x14ac:dyDescent="0.2">
      <c r="A22" s="1283"/>
      <c r="B22" s="1284" t="s">
        <v>2138</v>
      </c>
      <c r="C22" s="1285">
        <v>93.778000000000006</v>
      </c>
      <c r="D22" s="2462">
        <v>4046</v>
      </c>
      <c r="E22" s="2462"/>
      <c r="F22" s="2462"/>
    </row>
    <row r="23" spans="1:6" ht="20.65" customHeight="1" x14ac:dyDescent="0.2">
      <c r="A23" s="1283"/>
      <c r="B23" s="1284" t="s">
        <v>2139</v>
      </c>
      <c r="C23" s="1285">
        <v>93.778000000000006</v>
      </c>
      <c r="D23" s="2462">
        <v>5280</v>
      </c>
      <c r="E23" s="2462"/>
      <c r="F23" s="2462"/>
    </row>
    <row r="24" spans="1:6" ht="20.65" customHeight="1" x14ac:dyDescent="0.2">
      <c r="A24" s="1283"/>
      <c r="B24" s="1284" t="s">
        <v>2140</v>
      </c>
      <c r="C24" s="1285">
        <v>93.778000000000006</v>
      </c>
      <c r="D24" s="2462">
        <v>1648</v>
      </c>
      <c r="E24" s="2462"/>
      <c r="F24" s="2462"/>
    </row>
    <row r="25" spans="1:6" ht="20.65" customHeight="1" x14ac:dyDescent="0.2">
      <c r="A25" s="1283"/>
      <c r="B25" s="1284" t="s">
        <v>2141</v>
      </c>
      <c r="C25" s="1285">
        <v>93.778000000000006</v>
      </c>
      <c r="D25" s="2462">
        <v>8605</v>
      </c>
      <c r="E25" s="2462"/>
      <c r="F25" s="2462"/>
    </row>
    <row r="26" spans="1:6" ht="20.65" customHeight="1" x14ac:dyDescent="0.2">
      <c r="A26" s="1283"/>
      <c r="B26" s="1284" t="s">
        <v>2142</v>
      </c>
      <c r="C26" s="1285">
        <v>93.778000000000006</v>
      </c>
      <c r="D26" s="2462">
        <v>5740</v>
      </c>
      <c r="E26" s="2462"/>
      <c r="F26" s="2462"/>
    </row>
    <row r="27" spans="1:6" ht="20.65" customHeight="1" x14ac:dyDescent="0.2">
      <c r="A27" s="1283"/>
      <c r="B27" s="1284" t="s">
        <v>2150</v>
      </c>
      <c r="C27" s="1285">
        <v>93.778000000000006</v>
      </c>
      <c r="D27" s="2462">
        <v>10033</v>
      </c>
      <c r="E27" s="2462"/>
      <c r="F27" s="2462"/>
    </row>
    <row r="28" spans="1:6" ht="20.65" customHeight="1" x14ac:dyDescent="0.2">
      <c r="A28" s="1283"/>
      <c r="B28" s="1284" t="s">
        <v>2143</v>
      </c>
      <c r="C28" s="1285">
        <v>93.778000000000006</v>
      </c>
      <c r="D28" s="2462">
        <v>4866</v>
      </c>
      <c r="E28" s="2462"/>
      <c r="F28" s="2462"/>
    </row>
    <row r="29" spans="1:6" ht="20.65" customHeight="1" x14ac:dyDescent="0.2">
      <c r="A29" s="1283"/>
      <c r="B29" s="1284"/>
      <c r="C29" s="1285"/>
      <c r="D29" s="2462"/>
      <c r="E29" s="2462"/>
      <c r="F29" s="246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3" t="s">
        <v>2144</v>
      </c>
      <c r="B32" s="2463"/>
      <c r="C32" s="2463"/>
      <c r="D32" s="2463"/>
      <c r="E32" s="2463"/>
      <c r="F32" s="2463"/>
    </row>
    <row r="33" spans="1:6" ht="13.5" customHeight="1" x14ac:dyDescent="0.2">
      <c r="A33" s="328" t="s">
        <v>1509</v>
      </c>
      <c r="B33" s="328"/>
      <c r="C33" s="1288">
        <v>0</v>
      </c>
      <c r="D33" s="1928"/>
      <c r="E33" s="1286"/>
    </row>
    <row r="34" spans="1:6" ht="13.5" customHeight="1" x14ac:dyDescent="0.2">
      <c r="A34" s="328" t="s">
        <v>1946</v>
      </c>
      <c r="B34" s="328"/>
      <c r="C34" s="1289">
        <v>0</v>
      </c>
      <c r="D34" s="1928" t="s">
        <v>1671</v>
      </c>
      <c r="E34" s="2464">
        <f>+C33+C34</f>
        <v>0</v>
      </c>
      <c r="F34" s="246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1672</v>
      </c>
      <c r="C49" s="2466"/>
      <c r="D49" s="2466"/>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opLeftCell="A2" zoomScaleNormal="100" workbookViewId="0">
      <selection activeCell="I22" sqref="I22:S2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JAMP SpEd Services</v>
      </c>
      <c r="B1" s="2470"/>
      <c r="C1" s="2470"/>
      <c r="D1" s="2470"/>
      <c r="E1" s="2470"/>
      <c r="F1" s="2470"/>
    </row>
    <row r="2" spans="1:7" ht="13.5" customHeight="1" x14ac:dyDescent="0.2">
      <c r="A2" s="2458">
        <f>'Single Audit Cover'!E7</f>
        <v>30077801060</v>
      </c>
      <c r="B2" s="2458"/>
      <c r="C2" s="2458"/>
      <c r="D2" s="2458"/>
      <c r="E2" s="2458"/>
      <c r="F2" s="2458"/>
      <c r="G2" s="1275"/>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1831</v>
      </c>
      <c r="C6" s="317"/>
      <c r="D6" s="317"/>
    </row>
    <row r="7" spans="1:7" ht="60.95" customHeight="1" x14ac:dyDescent="0.2">
      <c r="A7" s="2469" t="s">
        <v>2161</v>
      </c>
      <c r="B7" s="2469"/>
      <c r="C7" s="2469"/>
      <c r="D7" s="2469"/>
      <c r="E7" s="2469"/>
      <c r="F7" s="246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4" customHeight="1" x14ac:dyDescent="0.2">
      <c r="A13" s="2469" t="s">
        <v>2153</v>
      </c>
      <c r="B13" s="2469"/>
      <c r="C13" s="2469"/>
      <c r="D13" s="2469"/>
      <c r="E13" s="2469"/>
      <c r="F13" s="2469"/>
    </row>
    <row r="14" spans="1:7" ht="9.75" customHeight="1" x14ac:dyDescent="0.2">
      <c r="C14" s="1260"/>
      <c r="D14" s="1260"/>
    </row>
    <row r="15" spans="1:7" ht="13.5" customHeight="1" x14ac:dyDescent="0.2">
      <c r="C15" s="1954" t="s">
        <v>1332</v>
      </c>
      <c r="D15" s="2467" t="s">
        <v>1331</v>
      </c>
      <c r="E15" s="2467"/>
      <c r="F15" s="2467"/>
    </row>
    <row r="16" spans="1:7" ht="13.5" customHeight="1" x14ac:dyDescent="0.2">
      <c r="A16" s="1282"/>
      <c r="B16" s="1276" t="s">
        <v>1330</v>
      </c>
      <c r="C16" s="1954" t="s">
        <v>1329</v>
      </c>
      <c r="D16" s="2468" t="s">
        <v>1670</v>
      </c>
      <c r="E16" s="2468"/>
      <c r="F16" s="2468"/>
    </row>
    <row r="17" spans="1:6" ht="20.45" customHeight="1" x14ac:dyDescent="0.2">
      <c r="A17" s="1283"/>
      <c r="B17" s="1284" t="s">
        <v>2145</v>
      </c>
      <c r="C17" s="1285">
        <v>84.027000000000001</v>
      </c>
      <c r="D17" s="2462">
        <v>21928</v>
      </c>
      <c r="E17" s="2462"/>
      <c r="F17" s="2462"/>
    </row>
    <row r="18" spans="1:6" ht="20.65" customHeight="1" x14ac:dyDescent="0.2">
      <c r="A18" s="1283"/>
      <c r="B18" s="1284" t="s">
        <v>2146</v>
      </c>
      <c r="C18" s="1285">
        <v>84.027000000000001</v>
      </c>
      <c r="D18" s="2462">
        <v>25940</v>
      </c>
      <c r="E18" s="2462"/>
      <c r="F18" s="2462"/>
    </row>
    <row r="19" spans="1:6" ht="20.65" customHeight="1" x14ac:dyDescent="0.2">
      <c r="A19" s="1283"/>
      <c r="B19" s="1284" t="s">
        <v>2147</v>
      </c>
      <c r="C19" s="1285">
        <v>84.027000000000001</v>
      </c>
      <c r="D19" s="2462">
        <v>16849</v>
      </c>
      <c r="E19" s="2462"/>
      <c r="F19" s="2462"/>
    </row>
    <row r="20" spans="1:6" ht="20.65" customHeight="1" x14ac:dyDescent="0.2">
      <c r="A20" s="1283"/>
      <c r="B20" s="1284" t="s">
        <v>2148</v>
      </c>
      <c r="C20" s="1285">
        <v>84.027000000000001</v>
      </c>
      <c r="D20" s="2462">
        <v>12579</v>
      </c>
      <c r="E20" s="2462"/>
      <c r="F20" s="2462"/>
    </row>
    <row r="21" spans="1:6" ht="20.65" customHeight="1" x14ac:dyDescent="0.2">
      <c r="A21" s="1283"/>
      <c r="B21" s="1284" t="s">
        <v>2149</v>
      </c>
      <c r="C21" s="1285">
        <v>84.027000000000001</v>
      </c>
      <c r="D21" s="2462">
        <v>2355</v>
      </c>
      <c r="E21" s="2462"/>
      <c r="F21" s="2462"/>
    </row>
    <row r="22" spans="1:6" ht="20.65" customHeight="1" x14ac:dyDescent="0.2">
      <c r="A22" s="1283"/>
      <c r="B22" s="1284" t="s">
        <v>2151</v>
      </c>
      <c r="C22" s="1285">
        <v>84.027000000000001</v>
      </c>
      <c r="D22" s="2462">
        <v>82693</v>
      </c>
      <c r="E22" s="2462"/>
      <c r="F22" s="2462"/>
    </row>
    <row r="23" spans="1:6" ht="20.65" customHeight="1" x14ac:dyDescent="0.2">
      <c r="A23" s="1283"/>
      <c r="B23" s="1284" t="s">
        <v>2152</v>
      </c>
      <c r="C23" s="1285">
        <v>84.027000000000001</v>
      </c>
      <c r="D23" s="2462">
        <v>11960</v>
      </c>
      <c r="E23" s="2462"/>
      <c r="F23" s="2462"/>
    </row>
    <row r="24" spans="1:6" ht="20.65" customHeight="1" x14ac:dyDescent="0.2">
      <c r="A24" s="1283"/>
      <c r="B24" s="1284"/>
      <c r="C24" s="1285"/>
      <c r="D24" s="2462"/>
      <c r="E24" s="2462"/>
      <c r="F24" s="2462"/>
    </row>
    <row r="25" spans="1:6" ht="20.65" customHeight="1" x14ac:dyDescent="0.2">
      <c r="A25" s="1283"/>
      <c r="B25" s="1284"/>
      <c r="C25" s="1285"/>
      <c r="D25" s="2462"/>
      <c r="E25" s="2462"/>
      <c r="F25" s="2462"/>
    </row>
    <row r="26" spans="1:6" ht="20.65" customHeight="1" x14ac:dyDescent="0.2">
      <c r="A26" s="1283"/>
      <c r="B26" s="1284"/>
      <c r="C26" s="1285"/>
      <c r="D26" s="2462"/>
      <c r="E26" s="2462"/>
      <c r="F26" s="2462"/>
    </row>
    <row r="27" spans="1:6" ht="20.65" customHeight="1" x14ac:dyDescent="0.2">
      <c r="A27" s="1283"/>
      <c r="B27" s="1284"/>
      <c r="C27" s="1285"/>
      <c r="D27" s="2462"/>
      <c r="E27" s="2462"/>
      <c r="F27" s="2462"/>
    </row>
    <row r="28" spans="1:6" ht="20.65" customHeight="1" x14ac:dyDescent="0.2">
      <c r="A28" s="1283"/>
      <c r="B28" s="1284"/>
      <c r="C28" s="1285"/>
      <c r="D28" s="2462"/>
      <c r="E28" s="2462"/>
      <c r="F28" s="2462"/>
    </row>
    <row r="29" spans="1:6" ht="20.65" customHeight="1" x14ac:dyDescent="0.2">
      <c r="A29" s="1283"/>
      <c r="B29" s="1284"/>
      <c r="C29" s="1285"/>
      <c r="D29" s="2462"/>
      <c r="E29" s="2462"/>
      <c r="F29" s="246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3" t="s">
        <v>2144</v>
      </c>
      <c r="B32" s="2463"/>
      <c r="C32" s="2463"/>
      <c r="D32" s="2463"/>
      <c r="E32" s="2463"/>
      <c r="F32" s="2463"/>
    </row>
    <row r="33" spans="1:6" ht="13.5" customHeight="1" x14ac:dyDescent="0.2">
      <c r="A33" s="328" t="s">
        <v>1509</v>
      </c>
      <c r="B33" s="328"/>
      <c r="C33" s="1288">
        <v>0</v>
      </c>
      <c r="D33" s="1928"/>
      <c r="E33" s="1286"/>
    </row>
    <row r="34" spans="1:6" ht="13.5" customHeight="1" x14ac:dyDescent="0.2">
      <c r="A34" s="328" t="s">
        <v>1946</v>
      </c>
      <c r="B34" s="328"/>
      <c r="C34" s="1289">
        <v>0</v>
      </c>
      <c r="D34" s="1928" t="s">
        <v>1671</v>
      </c>
      <c r="E34" s="2464">
        <f>+C33+C34</f>
        <v>0</v>
      </c>
      <c r="F34" s="246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1672</v>
      </c>
      <c r="C49" s="2466"/>
      <c r="D49" s="2466"/>
      <c r="E49" s="1399"/>
    </row>
    <row r="50" spans="1:5" s="1300" customFormat="1" ht="3.75" customHeight="1" x14ac:dyDescent="0.2">
      <c r="A50" s="1299"/>
      <c r="B50" s="1955"/>
      <c r="C50" s="1955"/>
      <c r="D50" s="1955"/>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7" right="0.7" top="0.75" bottom="0.75" header="0.3" footer="0.3"/>
  <pageSetup scale="8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I22" sqref="I22:S2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JAMP SpEd Services</v>
      </c>
      <c r="C1" s="2485"/>
      <c r="D1" s="2485"/>
      <c r="E1" s="2485"/>
      <c r="F1" s="2485"/>
      <c r="G1" s="2485"/>
      <c r="H1" s="2485"/>
      <c r="I1" s="2485"/>
      <c r="J1" s="1422"/>
    </row>
    <row r="2" spans="2:10" s="317" customFormat="1" ht="12.75" customHeight="1" x14ac:dyDescent="0.2">
      <c r="B2" s="2486">
        <f>'Single Audit Cover'!E7</f>
        <v>30077801060</v>
      </c>
      <c r="C2" s="2487"/>
      <c r="D2" s="2487"/>
      <c r="E2" s="2487"/>
      <c r="F2" s="2487"/>
      <c r="G2" s="2487"/>
      <c r="H2" s="2487"/>
      <c r="I2" s="2487"/>
      <c r="J2" s="1422"/>
    </row>
    <row r="3" spans="2:10" s="317" customFormat="1" ht="12.75" customHeight="1" x14ac:dyDescent="0.2">
      <c r="B3" s="2488" t="s">
        <v>1347</v>
      </c>
      <c r="C3" s="2489"/>
      <c r="D3" s="2489"/>
      <c r="E3" s="2489"/>
      <c r="F3" s="2489"/>
      <c r="G3" s="2489"/>
      <c r="H3" s="2489"/>
      <c r="I3" s="2489"/>
      <c r="J3" s="1423"/>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8" t="s">
        <v>1346</v>
      </c>
      <c r="C7" s="2489"/>
      <c r="D7" s="2489"/>
      <c r="E7" s="2489"/>
      <c r="F7" s="2489"/>
      <c r="G7" s="2489"/>
      <c r="H7" s="2489"/>
      <c r="I7" s="248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0" t="s">
        <v>1226</v>
      </c>
      <c r="D11" s="249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1" t="s">
        <v>2154</v>
      </c>
      <c r="E29" s="2491"/>
      <c r="F29" s="2491"/>
      <c r="G29" s="2491"/>
      <c r="H29" s="2491"/>
      <c r="I29" s="2491"/>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2" t="s">
        <v>1851</v>
      </c>
      <c r="D37" s="2493"/>
      <c r="E37" s="2493"/>
      <c r="F37" s="2494"/>
      <c r="G37" s="2492" t="s">
        <v>1674</v>
      </c>
      <c r="H37" s="2493"/>
      <c r="I37" s="2494"/>
    </row>
    <row r="38" spans="2:9" ht="16.5" customHeight="1" x14ac:dyDescent="0.2">
      <c r="B38" s="1444" t="s">
        <v>2155</v>
      </c>
      <c r="C38" s="2480" t="s">
        <v>2156</v>
      </c>
      <c r="D38" s="2481"/>
      <c r="E38" s="2481"/>
      <c r="F38" s="2482"/>
      <c r="G38" s="2495">
        <v>1393106</v>
      </c>
      <c r="H38" s="2496"/>
      <c r="I38" s="2497"/>
    </row>
    <row r="39" spans="2:9" ht="16.5" customHeight="1" x14ac:dyDescent="0.2">
      <c r="B39" s="1444"/>
      <c r="C39" s="2480"/>
      <c r="D39" s="2481"/>
      <c r="E39" s="2481"/>
      <c r="F39" s="2482"/>
      <c r="G39" s="2483"/>
      <c r="H39" s="2483"/>
      <c r="I39" s="2483"/>
    </row>
    <row r="40" spans="2:9" ht="16.5" customHeight="1" x14ac:dyDescent="0.2">
      <c r="B40" s="1444"/>
      <c r="C40" s="2480"/>
      <c r="D40" s="2481"/>
      <c r="E40" s="2481"/>
      <c r="F40" s="2482"/>
      <c r="G40" s="2483"/>
      <c r="H40" s="2483"/>
      <c r="I40" s="2483"/>
    </row>
    <row r="41" spans="2:9" ht="16.5" customHeight="1" x14ac:dyDescent="0.2">
      <c r="B41" s="1444"/>
      <c r="C41" s="2480"/>
      <c r="D41" s="2481"/>
      <c r="E41" s="2481"/>
      <c r="F41" s="2482"/>
      <c r="G41" s="2483"/>
      <c r="H41" s="2483"/>
      <c r="I41" s="2483"/>
    </row>
    <row r="42" spans="2:9" ht="16.5" customHeight="1" x14ac:dyDescent="0.2">
      <c r="B42" s="1444"/>
      <c r="C42" s="2480"/>
      <c r="D42" s="2481"/>
      <c r="E42" s="2481"/>
      <c r="F42" s="2482"/>
      <c r="G42" s="2483"/>
      <c r="H42" s="2483"/>
      <c r="I42" s="2483"/>
    </row>
    <row r="43" spans="2:9" ht="16.5" customHeight="1" x14ac:dyDescent="0.2">
      <c r="B43" s="1444"/>
      <c r="C43" s="2473" t="s">
        <v>1675</v>
      </c>
      <c r="D43" s="2474"/>
      <c r="E43" s="2474"/>
      <c r="F43" s="2475"/>
      <c r="G43" s="2476">
        <f>SUM(G38:I42)</f>
        <v>1393106</v>
      </c>
      <c r="H43" s="2476"/>
      <c r="I43" s="2476"/>
    </row>
    <row r="44" spans="2:9" ht="12.75" customHeight="1" x14ac:dyDescent="0.2"/>
    <row r="45" spans="2:9" ht="12.75" customHeight="1" x14ac:dyDescent="0.2">
      <c r="B45" s="1435" t="s">
        <v>1949</v>
      </c>
      <c r="D45" s="2477">
        <v>1470910</v>
      </c>
      <c r="E45" s="2478"/>
    </row>
    <row r="46" spans="2:9" ht="5.25" customHeight="1" x14ac:dyDescent="0.2">
      <c r="B46" s="1445"/>
      <c r="D46" s="1446"/>
      <c r="E46" s="1447"/>
    </row>
    <row r="47" spans="2:9" ht="12.75" customHeight="1" x14ac:dyDescent="0.2">
      <c r="B47" s="1300" t="s">
        <v>1676</v>
      </c>
      <c r="C47" s="1300"/>
      <c r="D47" s="1448">
        <f>+G43/D45</f>
        <v>0.94710485345806339</v>
      </c>
      <c r="E47" s="1449"/>
      <c r="F47" s="1450"/>
      <c r="I47" s="1451"/>
    </row>
    <row r="48" spans="2:9" ht="9.9499999999999993" customHeight="1" x14ac:dyDescent="0.2"/>
    <row r="49" spans="1:9" x14ac:dyDescent="0.2">
      <c r="B49" s="1368" t="s">
        <v>1335</v>
      </c>
      <c r="C49" s="1282"/>
      <c r="D49" s="1282"/>
      <c r="E49" s="2479">
        <v>750000</v>
      </c>
      <c r="F49" s="2479"/>
      <c r="G49" s="2479"/>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1" right="1" top="1" bottom="1" header="0.51" footer="0.28999999999999998"/>
  <pageSetup scale="83" firstPageNumber="40" orientation="portrait" useFirstPageNumber="1" r:id="rId1"/>
  <headerFooter alignWithMargins="0">
    <oddHeader>&amp;L&amp;8Page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I22" sqref="I22:S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JAMP SpEd Services</v>
      </c>
      <c r="C1" s="2484"/>
      <c r="D1" s="2484"/>
      <c r="E1" s="2484"/>
      <c r="F1" s="2484"/>
      <c r="G1" s="2484"/>
      <c r="H1" s="2484"/>
      <c r="I1" s="2484"/>
      <c r="J1" s="2484"/>
      <c r="K1" s="2484"/>
      <c r="L1" s="1374"/>
      <c r="M1" s="1374"/>
    </row>
    <row r="2" spans="1:13" ht="12" customHeight="1" x14ac:dyDescent="0.2">
      <c r="B2" s="2486">
        <f>'Single Audit Cover'!E7</f>
        <v>30077801060</v>
      </c>
      <c r="C2" s="2486"/>
      <c r="D2" s="2486"/>
      <c r="E2" s="2486"/>
      <c r="F2" s="2486"/>
      <c r="G2" s="2486"/>
      <c r="H2" s="2486"/>
      <c r="I2" s="2486"/>
      <c r="J2" s="2486"/>
      <c r="K2" s="2486"/>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3"/>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8"/>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I22" sqref="I22:S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JAMP SpEd Services</v>
      </c>
      <c r="C1" s="2507"/>
      <c r="D1" s="2507"/>
      <c r="E1" s="2507"/>
      <c r="F1" s="2507"/>
      <c r="G1" s="2507"/>
      <c r="H1" s="2507"/>
      <c r="I1" s="2507"/>
      <c r="J1" s="2507"/>
      <c r="K1" s="2507"/>
      <c r="L1" s="1465"/>
    </row>
    <row r="2" spans="1:12" ht="12.75" customHeight="1" x14ac:dyDescent="0.2">
      <c r="B2" s="2508">
        <f>'Single Audit Cover'!E7</f>
        <v>30077801060</v>
      </c>
      <c r="C2" s="2508"/>
      <c r="D2" s="2508"/>
      <c r="E2" s="2508"/>
      <c r="F2" s="2508"/>
      <c r="G2" s="2508"/>
      <c r="H2" s="2508"/>
      <c r="I2" s="2508"/>
      <c r="J2" s="2508"/>
      <c r="K2" s="2508"/>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9" t="s">
        <v>1375</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c r="E14" s="2504"/>
      <c r="F14" s="2504"/>
      <c r="H14" s="1475" t="s">
        <v>1370</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5"/>
      <c r="E16" s="2505"/>
      <c r="F16" s="2505"/>
      <c r="G16" s="2505"/>
      <c r="H16" s="2505"/>
      <c r="I16" s="2505"/>
      <c r="J16" s="2505"/>
      <c r="K16" s="2505"/>
      <c r="L16" s="322"/>
    </row>
    <row r="17" spans="2:12" ht="13.5" customHeight="1" x14ac:dyDescent="0.2">
      <c r="B17" s="1387" t="s">
        <v>1368</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1" right="1" top="1" bottom="1" header="0.5" footer="0.18"/>
  <pageSetup scale="85" firstPageNumber="42" orientation="portrait" useFirstPageNumber="1" r:id="rId1"/>
  <headerFooter alignWithMargins="0">
    <oddHeader>&amp;L&amp;8Page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I22" sqref="I22:S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JAMP SpEd Services</v>
      </c>
      <c r="C1" s="2484"/>
      <c r="D1" s="2484"/>
      <c r="E1" s="1491"/>
    </row>
    <row r="2" spans="2:5" s="1282" customFormat="1" ht="12.75" customHeight="1" x14ac:dyDescent="0.2">
      <c r="B2" s="2486">
        <f>'Single Audit Cover'!E7</f>
        <v>30077801060</v>
      </c>
      <c r="C2" s="2486"/>
      <c r="D2" s="2486"/>
      <c r="E2" s="1492"/>
    </row>
    <row r="3" spans="2:5" ht="12.75" customHeight="1" x14ac:dyDescent="0.2">
      <c r="B3" s="2500" t="s">
        <v>1866</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2157</v>
      </c>
      <c r="C8" s="324" t="s">
        <v>2158</v>
      </c>
      <c r="D8" s="324" t="s">
        <v>2163</v>
      </c>
      <c r="E8" s="324"/>
    </row>
    <row r="9" spans="2:5" ht="13.5" customHeight="1" x14ac:dyDescent="0.2">
      <c r="B9" s="1497"/>
      <c r="C9" s="323" t="s">
        <v>2159</v>
      </c>
      <c r="D9" s="323"/>
      <c r="E9" s="323"/>
    </row>
    <row r="10" spans="2:5" ht="13.5" customHeight="1" x14ac:dyDescent="0.2">
      <c r="B10" s="1496"/>
      <c r="C10" s="323" t="s">
        <v>2160</v>
      </c>
      <c r="D10" s="323"/>
      <c r="E10" s="323"/>
    </row>
    <row r="11" spans="2:5" ht="13.5" customHeight="1" x14ac:dyDescent="0.2">
      <c r="B11" s="1496"/>
      <c r="C11" s="323" t="s">
        <v>2162</v>
      </c>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85"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I22" sqref="I22:S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3023500</v>
      </c>
      <c r="E16" s="356"/>
      <c r="F16" s="1755">
        <f>SUM('Acct Summary 7-8'!C17,'Acct Summary 7-8'!D17,'Acct Summary 7-8'!F17)</f>
        <v>3017970</v>
      </c>
      <c r="G16" s="356"/>
      <c r="H16" s="1755">
        <f>SUM(D16-F16)</f>
        <v>5530</v>
      </c>
      <c r="I16" s="222"/>
      <c r="J16" s="1755">
        <f>SUM('Acct Summary 7-8'!C81,'Acct Summary 7-8'!D81,'Acct Summary 7-8'!F81,'Acct Summary 7-8'!I81)</f>
        <v>489805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0</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verticalCentered="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I22" sqref="I22:S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JAMP SpEd Services</v>
      </c>
      <c r="E7" s="391"/>
      <c r="G7" s="252"/>
      <c r="H7" s="387"/>
      <c r="I7" s="387"/>
      <c r="J7" s="387"/>
      <c r="K7" s="387"/>
      <c r="L7" s="329"/>
      <c r="M7" s="329"/>
      <c r="N7" s="329"/>
      <c r="O7" s="329"/>
      <c r="P7" s="329"/>
    </row>
    <row r="8" spans="1:18" ht="12.75" x14ac:dyDescent="0.2">
      <c r="A8" s="329"/>
      <c r="B8" s="329"/>
      <c r="C8" s="389" t="s">
        <v>1187</v>
      </c>
      <c r="D8" s="392">
        <f>COVER!A13</f>
        <v>30077801060</v>
      </c>
      <c r="E8" s="393"/>
      <c r="G8" s="329"/>
      <c r="H8" s="329"/>
      <c r="I8" s="329"/>
      <c r="J8" s="329"/>
      <c r="K8" s="329"/>
      <c r="L8" s="329"/>
      <c r="M8" s="329"/>
      <c r="N8" s="329"/>
      <c r="O8" s="329"/>
      <c r="P8" s="329"/>
    </row>
    <row r="9" spans="1:18" ht="12.75" x14ac:dyDescent="0.2">
      <c r="A9" s="329"/>
      <c r="B9" s="329"/>
      <c r="C9" s="389" t="s">
        <v>737</v>
      </c>
      <c r="D9" s="394" t="str">
        <f>COVER!A15</f>
        <v>Johnson, Alexander, Massac &amp; Pulaski</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489805</v>
      </c>
      <c r="I12" s="404"/>
      <c r="J12" s="404"/>
      <c r="K12" s="405">
        <f>TRUNC((H12/H13*100000),5)/100000</f>
        <v>0.16199933850000001</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3023500</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3017970</v>
      </c>
      <c r="I17" s="404"/>
      <c r="J17" s="416"/>
      <c r="K17" s="405">
        <f>TRUNC((H17/H18*100000),5)/100000</f>
        <v>0.99817099379999996</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3023500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589840</v>
      </c>
      <c r="I24" s="422"/>
      <c r="J24" s="422"/>
      <c r="K24" s="423">
        <f>TRUNC(((H24/H25*100000)/100000),2)</f>
        <v>70.349999999999994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8383.25</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#DIV/0!</v>
      </c>
      <c r="P31" s="216"/>
    </row>
    <row r="32" spans="1:18" s="408" customFormat="1" ht="11.25" x14ac:dyDescent="0.2">
      <c r="A32" s="218"/>
      <c r="B32" s="401"/>
      <c r="C32" s="218" t="s">
        <v>902</v>
      </c>
      <c r="D32" s="218"/>
      <c r="E32" s="218"/>
      <c r="F32" s="218"/>
      <c r="G32" s="402"/>
      <c r="H32" s="403">
        <f>'FP Info 3'!H37</f>
        <v>0</v>
      </c>
      <c r="I32" s="420"/>
      <c r="J32" s="420"/>
      <c r="K32" s="423" t="e">
        <f>TRUNC(100-((((H32/H33*100))*100)/100),2)</f>
        <v>#DIV/0!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0</v>
      </c>
      <c r="I33" s="420"/>
      <c r="J33" s="420"/>
      <c r="K33" s="403"/>
      <c r="L33" s="218"/>
      <c r="M33" s="435" t="s">
        <v>1207</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4" activePane="bottomLeft" state="frozen"/>
      <selection activeCell="I22" sqref="I22:S22"/>
      <selection pane="bottomLeft" activeCell="I22" sqref="I22:S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v>585802</v>
      </c>
      <c r="D4" s="466">
        <v>4038</v>
      </c>
      <c r="E4" s="466"/>
      <c r="F4" s="466"/>
      <c r="G4" s="466"/>
      <c r="H4" s="466"/>
      <c r="I4" s="466"/>
      <c r="J4" s="467"/>
      <c r="K4" s="466"/>
      <c r="L4" s="466">
        <v>952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55000</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640802</v>
      </c>
      <c r="D13" s="1759">
        <f t="shared" ref="D13:L13" si="0">SUM(D4:D12)</f>
        <v>4038</v>
      </c>
      <c r="E13" s="1759">
        <f t="shared" si="0"/>
        <v>0</v>
      </c>
      <c r="F13" s="1759">
        <f t="shared" si="0"/>
        <v>0</v>
      </c>
      <c r="G13" s="1759">
        <f t="shared" si="0"/>
        <v>0</v>
      </c>
      <c r="H13" s="1759">
        <f t="shared" si="0"/>
        <v>0</v>
      </c>
      <c r="I13" s="1759">
        <f t="shared" si="0"/>
        <v>0</v>
      </c>
      <c r="J13" s="1759">
        <f t="shared" si="0"/>
        <v>0</v>
      </c>
      <c r="K13" s="1759">
        <f t="shared" si="0"/>
        <v>0</v>
      </c>
      <c r="L13" s="1759">
        <f t="shared" si="0"/>
        <v>952</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v>14729</v>
      </c>
      <c r="N18" s="484"/>
    </row>
    <row r="19" spans="1:14" s="485" customFormat="1" ht="12.75" customHeight="1" x14ac:dyDescent="0.2">
      <c r="A19" s="482" t="s">
        <v>1472</v>
      </c>
      <c r="B19" s="483">
        <v>250</v>
      </c>
      <c r="C19" s="477"/>
      <c r="D19" s="477"/>
      <c r="E19" s="477"/>
      <c r="F19" s="477"/>
      <c r="G19" s="477"/>
      <c r="H19" s="477"/>
      <c r="I19" s="477"/>
      <c r="J19" s="477"/>
      <c r="K19" s="477"/>
      <c r="L19" s="477"/>
      <c r="M19" s="467">
        <v>366300</v>
      </c>
      <c r="N19" s="484"/>
    </row>
    <row r="20" spans="1:14" s="485" customFormat="1" ht="12.75" customHeight="1" x14ac:dyDescent="0.2">
      <c r="A20" s="482" t="s">
        <v>1473</v>
      </c>
      <c r="B20" s="483">
        <v>260</v>
      </c>
      <c r="C20" s="477"/>
      <c r="D20" s="477"/>
      <c r="E20" s="477"/>
      <c r="F20" s="477"/>
      <c r="G20" s="477"/>
      <c r="H20" s="477"/>
      <c r="I20" s="477"/>
      <c r="J20" s="477"/>
      <c r="K20" s="477"/>
      <c r="L20" s="477"/>
      <c r="M20" s="467">
        <v>161598</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542627</v>
      </c>
      <c r="N23" s="1710">
        <f>SUM(N21:N22)</f>
        <v>0</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c r="D25" s="478">
        <v>55000</v>
      </c>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2154</v>
      </c>
      <c r="D31" s="467"/>
      <c r="E31" s="467"/>
      <c r="F31" s="466"/>
      <c r="G31" s="467"/>
      <c r="H31" s="467"/>
      <c r="I31" s="467"/>
      <c r="J31" s="467"/>
      <c r="K31" s="467"/>
      <c r="L31" s="468"/>
      <c r="M31" s="468"/>
      <c r="N31" s="468"/>
    </row>
    <row r="32" spans="1:14" ht="13.5" customHeight="1" x14ac:dyDescent="0.2">
      <c r="A32" s="490" t="s">
        <v>673</v>
      </c>
      <c r="B32" s="491">
        <v>490</v>
      </c>
      <c r="C32" s="492">
        <v>97881</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952</v>
      </c>
      <c r="M33" s="468"/>
      <c r="N33" s="469"/>
    </row>
    <row r="34" spans="1:14" ht="13.5" customHeight="1" thickBot="1" x14ac:dyDescent="0.25">
      <c r="A34" s="1760" t="s">
        <v>675</v>
      </c>
      <c r="B34" s="1761"/>
      <c r="C34" s="1762">
        <f>SUM(C25:C33)</f>
        <v>100035</v>
      </c>
      <c r="D34" s="1762">
        <f t="shared" ref="D34:K34" si="1">SUM(D25:D33)</f>
        <v>55000</v>
      </c>
      <c r="E34" s="1762">
        <f t="shared" si="1"/>
        <v>0</v>
      </c>
      <c r="F34" s="1762">
        <f t="shared" si="1"/>
        <v>0</v>
      </c>
      <c r="G34" s="1762">
        <f t="shared" si="1"/>
        <v>0</v>
      </c>
      <c r="H34" s="1762">
        <f t="shared" si="1"/>
        <v>0</v>
      </c>
      <c r="I34" s="1762">
        <f t="shared" si="1"/>
        <v>0</v>
      </c>
      <c r="J34" s="1762">
        <f t="shared" si="1"/>
        <v>0</v>
      </c>
      <c r="K34" s="1762">
        <f t="shared" si="1"/>
        <v>0</v>
      </c>
      <c r="L34" s="1743">
        <f>SUM(L33)</f>
        <v>952</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540767</v>
      </c>
      <c r="D39" s="466">
        <v>-50962</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542627</v>
      </c>
      <c r="N40" s="497"/>
    </row>
    <row r="41" spans="1:14" ht="13.5" customHeight="1" thickBot="1" x14ac:dyDescent="0.25">
      <c r="A41" s="1758" t="s">
        <v>676</v>
      </c>
      <c r="B41" s="1728"/>
      <c r="C41" s="1710">
        <f>(SUM(C34,C37,C38,C39))</f>
        <v>640802</v>
      </c>
      <c r="D41" s="1710">
        <f t="shared" ref="D41:L41" si="2">SUM(D34,D37,D38:D39)</f>
        <v>4038</v>
      </c>
      <c r="E41" s="1710">
        <f t="shared" si="2"/>
        <v>0</v>
      </c>
      <c r="F41" s="1710">
        <f t="shared" si="2"/>
        <v>0</v>
      </c>
      <c r="G41" s="1710">
        <f t="shared" si="2"/>
        <v>0</v>
      </c>
      <c r="H41" s="1710">
        <f t="shared" si="2"/>
        <v>0</v>
      </c>
      <c r="I41" s="1710">
        <f t="shared" si="2"/>
        <v>0</v>
      </c>
      <c r="J41" s="1710">
        <f t="shared" si="2"/>
        <v>0</v>
      </c>
      <c r="K41" s="1710">
        <f t="shared" si="2"/>
        <v>0</v>
      </c>
      <c r="L41" s="1710">
        <f t="shared" si="2"/>
        <v>952</v>
      </c>
      <c r="M41" s="1710">
        <f>SUM(M40)</f>
        <v>542627</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headings="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I22" sqref="I22:S22"/>
      <selection pane="bottomLeft" activeCell="I22" sqref="I22:S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2158" t="s">
        <v>1579</v>
      </c>
      <c r="B4" s="2159"/>
      <c r="C4" s="1764">
        <f>'Revenues 9-14'!C109</f>
        <v>1060874</v>
      </c>
      <c r="D4" s="1764">
        <f>'Revenues 9-14'!D109</f>
        <v>3718</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414780</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1472694</v>
      </c>
      <c r="D7" s="1765">
        <f>'Revenues 9-14'!D274</f>
        <v>71434</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2948348</v>
      </c>
      <c r="D8" s="1710">
        <f t="shared" ref="D8:K8" si="0">SUM(D4:D7)</f>
        <v>75152</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599297</v>
      </c>
      <c r="D9" s="516"/>
      <c r="E9" s="481"/>
      <c r="F9" s="481"/>
      <c r="G9" s="517"/>
      <c r="H9" s="481"/>
      <c r="I9" s="509" t="s">
        <v>1231</v>
      </c>
      <c r="J9" s="478"/>
      <c r="K9" s="481"/>
      <c r="L9" s="347"/>
    </row>
    <row r="10" spans="1:13" s="519" customFormat="1" ht="13.5" thickBot="1" x14ac:dyDescent="0.25">
      <c r="A10" s="1758" t="s">
        <v>1235</v>
      </c>
      <c r="B10" s="1731"/>
      <c r="C10" s="1710">
        <f>SUM(C8:C9)</f>
        <v>3547645</v>
      </c>
      <c r="D10" s="1710">
        <f t="shared" ref="D10:K10" si="1">SUM(D8:D9)</f>
        <v>75152</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4">
        <f>'Expenditures 15-22'!K33</f>
        <v>577430</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1687143</v>
      </c>
      <c r="D13" s="1765">
        <f>'Expenditures 15-22'!K129</f>
        <v>168141</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585256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2849829</v>
      </c>
      <c r="D17" s="1710">
        <f t="shared" si="2"/>
        <v>168141</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599297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3449126</v>
      </c>
      <c r="D19" s="1710">
        <f t="shared" si="4"/>
        <v>168141</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6" t="s">
        <v>1754</v>
      </c>
      <c r="B20" s="2147"/>
      <c r="C20" s="1768">
        <f>C8-C17</f>
        <v>98519</v>
      </c>
      <c r="D20" s="1768">
        <f t="shared" ref="D20:K20" si="5">D8-D17</f>
        <v>-92989</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60" t="s">
        <v>616</v>
      </c>
      <c r="B21" s="2161"/>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6" t="s">
        <v>460</v>
      </c>
      <c r="B76" s="216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618</v>
      </c>
      <c r="B78" s="2143"/>
      <c r="C78" s="1724">
        <f t="shared" ref="C78:K78" si="9">C20+C77</f>
        <v>98519</v>
      </c>
      <c r="D78" s="1724">
        <f t="shared" si="9"/>
        <v>-92989</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2070</v>
      </c>
      <c r="B79" s="534"/>
      <c r="C79" s="478">
        <v>442248</v>
      </c>
      <c r="D79" s="535">
        <v>42027</v>
      </c>
      <c r="E79" s="535"/>
      <c r="F79" s="535"/>
      <c r="G79" s="535"/>
      <c r="H79" s="535"/>
      <c r="I79" s="535"/>
      <c r="J79" s="535"/>
      <c r="K79" s="535"/>
      <c r="L79" s="347"/>
    </row>
    <row r="80" spans="1:12" x14ac:dyDescent="0.2">
      <c r="A80" s="2148" t="s">
        <v>1895</v>
      </c>
      <c r="B80" s="2149"/>
      <c r="C80" s="467"/>
      <c r="D80" s="467"/>
      <c r="E80" s="467"/>
      <c r="F80" s="467"/>
      <c r="G80" s="467"/>
      <c r="H80" s="467"/>
      <c r="I80" s="467"/>
      <c r="J80" s="467"/>
      <c r="K80" s="467"/>
      <c r="L80" s="347"/>
    </row>
    <row r="81" spans="1:12" ht="13.5" thickBot="1" x14ac:dyDescent="0.25">
      <c r="A81" s="2140" t="s">
        <v>2071</v>
      </c>
      <c r="B81" s="2141"/>
      <c r="C81" s="1710">
        <f>(SUM(C78:C80))</f>
        <v>540767</v>
      </c>
      <c r="D81" s="1710">
        <f>SUM(D78:D80)</f>
        <v>-50962</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98519</v>
      </c>
      <c r="D82" s="538">
        <f t="shared" ref="D82:K82" si="11">(D81-D79)</f>
        <v>-92989</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0.18218382408689879</v>
      </c>
      <c r="D83" s="540">
        <f t="shared" ref="D83:K83" si="12">D82/D81</f>
        <v>1.8246732859777874</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orizontalCentered="1" headings="1" gridLine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I22" sqref="I22:S22"/>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1902</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1046877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1046877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4524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4524</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9205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v>3718</v>
      </c>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268</v>
      </c>
      <c r="D107" s="466"/>
      <c r="E107" s="466"/>
      <c r="F107" s="466"/>
      <c r="G107" s="466"/>
      <c r="H107" s="466"/>
      <c r="I107" s="466"/>
      <c r="J107" s="467"/>
      <c r="K107" s="466"/>
    </row>
    <row r="108" spans="1:12" ht="12.75" customHeight="1" thickBot="1" x14ac:dyDescent="0.25">
      <c r="A108" s="1730" t="s">
        <v>508</v>
      </c>
      <c r="B108" s="1734"/>
      <c r="C108" s="1729">
        <f>SUM(C95:C107)</f>
        <v>9473</v>
      </c>
      <c r="D108" s="1729">
        <f t="shared" ref="D108:K108" si="3">SUM(D95:D107)</f>
        <v>3718</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1060874</v>
      </c>
      <c r="D109" s="1737">
        <f t="shared" si="4"/>
        <v>3718</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210926</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210926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105463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105463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286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98105</v>
      </c>
      <c r="D171" s="580"/>
      <c r="E171" s="580"/>
      <c r="F171" s="580"/>
      <c r="G171" s="581"/>
      <c r="H171" s="582"/>
      <c r="I171" s="581"/>
      <c r="J171" s="581"/>
      <c r="K171" s="582"/>
    </row>
    <row r="172" spans="1:11" ht="12.75" customHeight="1" thickTop="1" thickBot="1" x14ac:dyDescent="0.25">
      <c r="A172" s="2168" t="s">
        <v>418</v>
      </c>
      <c r="B172" s="2169"/>
      <c r="C172" s="1744">
        <f t="shared" ref="C172:K172" si="6">SUM(C131,C140,C144,C145:C149,C154,C155:C170,C171)</f>
        <v>203854</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414780</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6" t="s">
        <v>818</v>
      </c>
      <c r="B184" s="217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1903</v>
      </c>
      <c r="B185" s="217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6799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4293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11092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61917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1142267</v>
      </c>
      <c r="D220" s="466">
        <v>71434</v>
      </c>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1204184</v>
      </c>
      <c r="D224" s="1729">
        <f>SUM(D218:D223)</f>
        <v>71434</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61622</v>
      </c>
      <c r="D270" s="576"/>
      <c r="E270" s="468"/>
      <c r="F270" s="576"/>
      <c r="G270" s="576"/>
      <c r="H270" s="468"/>
      <c r="I270" s="468"/>
      <c r="J270" s="468"/>
      <c r="K270" s="468"/>
    </row>
    <row r="271" spans="1:11" ht="12.75" customHeight="1" thickTop="1" thickBot="1" x14ac:dyDescent="0.25">
      <c r="A271" s="463" t="s">
        <v>395</v>
      </c>
      <c r="B271" s="470">
        <v>4992</v>
      </c>
      <c r="C271" s="575">
        <v>195796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1472694</v>
      </c>
      <c r="D273" s="1737">
        <f t="shared" si="10"/>
        <v>71434</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1472694</v>
      </c>
      <c r="D274" s="1737">
        <f>SUM(D178,D184,D273)</f>
        <v>71434</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2948348</v>
      </c>
      <c r="D275" s="1737">
        <f t="shared" si="12"/>
        <v>75152</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1" right="0.3" top="1" bottom="0.46" header="0.5" footer="0.3"/>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54" activePane="bottomLeft" state="frozen"/>
      <selection activeCell="I22" sqref="I22:S22"/>
      <selection pane="bottomLeft" activeCell="I22" sqref="I22:S2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349511</v>
      </c>
      <c r="D8" s="466">
        <v>65077</v>
      </c>
      <c r="E8" s="466">
        <v>26173</v>
      </c>
      <c r="F8" s="466">
        <v>7272</v>
      </c>
      <c r="G8" s="466">
        <v>8594</v>
      </c>
      <c r="H8" s="466"/>
      <c r="I8" s="467"/>
      <c r="J8" s="467"/>
      <c r="K8" s="1693">
        <f t="shared" si="0"/>
        <v>456627</v>
      </c>
      <c r="L8" s="466">
        <v>506720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81143</v>
      </c>
      <c r="D13" s="466">
        <v>14263</v>
      </c>
      <c r="E13" s="466">
        <v>20790</v>
      </c>
      <c r="F13" s="466">
        <v>4607</v>
      </c>
      <c r="G13" s="466"/>
      <c r="H13" s="466"/>
      <c r="I13" s="467"/>
      <c r="J13" s="467"/>
      <c r="K13" s="1693">
        <f t="shared" si="0"/>
        <v>120803</v>
      </c>
      <c r="L13" s="466">
        <v>148343</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430654</v>
      </c>
      <c r="D33" s="1692">
        <f t="shared" ref="D33:L33" si="1">SUM(D5:D32)</f>
        <v>79340</v>
      </c>
      <c r="E33" s="1692">
        <f t="shared" si="1"/>
        <v>46963</v>
      </c>
      <c r="F33" s="1692">
        <f t="shared" si="1"/>
        <v>11879</v>
      </c>
      <c r="G33" s="1692">
        <f t="shared" si="1"/>
        <v>8594</v>
      </c>
      <c r="H33" s="1692">
        <f t="shared" si="1"/>
        <v>0</v>
      </c>
      <c r="I33" s="1692">
        <f t="shared" si="1"/>
        <v>0</v>
      </c>
      <c r="J33" s="1692">
        <f t="shared" si="1"/>
        <v>0</v>
      </c>
      <c r="K33" s="1692">
        <f t="shared" si="1"/>
        <v>577430</v>
      </c>
      <c r="L33" s="1692">
        <f t="shared" si="1"/>
        <v>655063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87612</v>
      </c>
      <c r="D36" s="481">
        <v>15753</v>
      </c>
      <c r="E36" s="481">
        <v>1869</v>
      </c>
      <c r="F36" s="481">
        <v>3001</v>
      </c>
      <c r="G36" s="481"/>
      <c r="H36" s="481"/>
      <c r="I36" s="467"/>
      <c r="J36" s="467"/>
      <c r="K36" s="1693">
        <f t="shared" ref="K36:K41" si="2">SUM(C36:J36)</f>
        <v>108235</v>
      </c>
      <c r="L36" s="466">
        <v>99920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316839</v>
      </c>
      <c r="D38" s="466">
        <v>72487</v>
      </c>
      <c r="E38" s="466">
        <v>16962</v>
      </c>
      <c r="F38" s="466">
        <v>6556</v>
      </c>
      <c r="G38" s="466">
        <v>17953</v>
      </c>
      <c r="H38" s="466"/>
      <c r="I38" s="467"/>
      <c r="J38" s="467"/>
      <c r="K38" s="1693">
        <f t="shared" si="2"/>
        <v>430797</v>
      </c>
      <c r="L38" s="466">
        <v>399821</v>
      </c>
    </row>
    <row r="39" spans="1:14" x14ac:dyDescent="0.2">
      <c r="A39" s="1526" t="s">
        <v>208</v>
      </c>
      <c r="B39" s="615">
        <v>2140</v>
      </c>
      <c r="C39" s="466">
        <v>151512</v>
      </c>
      <c r="D39" s="466">
        <v>27687</v>
      </c>
      <c r="E39" s="466">
        <v>8275</v>
      </c>
      <c r="F39" s="466">
        <v>6864</v>
      </c>
      <c r="G39" s="466"/>
      <c r="H39" s="466"/>
      <c r="I39" s="467"/>
      <c r="J39" s="467"/>
      <c r="K39" s="1693">
        <f t="shared" si="2"/>
        <v>194338</v>
      </c>
      <c r="L39" s="466">
        <v>185281</v>
      </c>
    </row>
    <row r="40" spans="1:14" x14ac:dyDescent="0.2">
      <c r="A40" s="1526" t="s">
        <v>209</v>
      </c>
      <c r="B40" s="615">
        <v>2150</v>
      </c>
      <c r="C40" s="466">
        <v>120472</v>
      </c>
      <c r="D40" s="466">
        <v>19161</v>
      </c>
      <c r="E40" s="466">
        <v>1856</v>
      </c>
      <c r="F40" s="466">
        <v>6839</v>
      </c>
      <c r="G40" s="466">
        <v>845</v>
      </c>
      <c r="H40" s="466"/>
      <c r="I40" s="467"/>
      <c r="J40" s="467"/>
      <c r="K40" s="1693">
        <f t="shared" si="2"/>
        <v>149173</v>
      </c>
      <c r="L40" s="466">
        <v>140398</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676435</v>
      </c>
      <c r="D42" s="1692">
        <f t="shared" ref="D42:L42" si="3">SUM(D36:D41)</f>
        <v>135088</v>
      </c>
      <c r="E42" s="1692">
        <f t="shared" si="3"/>
        <v>28962</v>
      </c>
      <c r="F42" s="1692">
        <f t="shared" si="3"/>
        <v>23260</v>
      </c>
      <c r="G42" s="1692">
        <f t="shared" si="3"/>
        <v>18798</v>
      </c>
      <c r="H42" s="1692">
        <f t="shared" si="3"/>
        <v>0</v>
      </c>
      <c r="I42" s="1692">
        <f t="shared" si="3"/>
        <v>0</v>
      </c>
      <c r="J42" s="1692">
        <f t="shared" si="3"/>
        <v>0</v>
      </c>
      <c r="K42" s="1692">
        <f t="shared" si="3"/>
        <v>882543</v>
      </c>
      <c r="L42" s="1692">
        <f t="shared" si="3"/>
        <v>825420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29888</v>
      </c>
      <c r="D44" s="481">
        <v>7515</v>
      </c>
      <c r="E44" s="481">
        <v>32072</v>
      </c>
      <c r="F44" s="481">
        <v>673</v>
      </c>
      <c r="G44" s="481"/>
      <c r="H44" s="481"/>
      <c r="I44" s="467"/>
      <c r="J44" s="467"/>
      <c r="K44" s="1694">
        <f>SUM(C44:J44)</f>
        <v>70148</v>
      </c>
      <c r="L44" s="481">
        <v>68669</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29888</v>
      </c>
      <c r="D47" s="1692">
        <f t="shared" ref="D47:K47" si="4">SUM(D44:D46)</f>
        <v>7515</v>
      </c>
      <c r="E47" s="1692">
        <f t="shared" si="4"/>
        <v>32072</v>
      </c>
      <c r="F47" s="1692">
        <f t="shared" si="4"/>
        <v>673</v>
      </c>
      <c r="G47" s="1692">
        <f t="shared" si="4"/>
        <v>0</v>
      </c>
      <c r="H47" s="1692">
        <f t="shared" si="4"/>
        <v>0</v>
      </c>
      <c r="I47" s="1692">
        <f t="shared" si="4"/>
        <v>0</v>
      </c>
      <c r="J47" s="1692">
        <f t="shared" si="4"/>
        <v>0</v>
      </c>
      <c r="K47" s="1692">
        <f t="shared" si="4"/>
        <v>70148</v>
      </c>
      <c r="L47" s="1692">
        <f>SUM(L44:L46)</f>
        <v>68669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v>341589</v>
      </c>
      <c r="D50" s="466">
        <v>65835</v>
      </c>
      <c r="E50" s="466">
        <v>146759</v>
      </c>
      <c r="F50" s="466">
        <v>18314</v>
      </c>
      <c r="G50" s="466">
        <v>10803</v>
      </c>
      <c r="H50" s="466"/>
      <c r="I50" s="467"/>
      <c r="J50" s="467"/>
      <c r="K50" s="1694">
        <f>SUM(C50:J50)</f>
        <v>583300</v>
      </c>
      <c r="L50" s="466">
        <v>617011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341589</v>
      </c>
      <c r="D53" s="1692">
        <f t="shared" ref="D53:L53" si="5">SUM(D49:D52)</f>
        <v>65835</v>
      </c>
      <c r="E53" s="1692">
        <f t="shared" si="5"/>
        <v>146759</v>
      </c>
      <c r="F53" s="1692">
        <f t="shared" si="5"/>
        <v>18314</v>
      </c>
      <c r="G53" s="1692">
        <f t="shared" si="5"/>
        <v>10803</v>
      </c>
      <c r="H53" s="1692">
        <f t="shared" si="5"/>
        <v>0</v>
      </c>
      <c r="I53" s="1692">
        <f t="shared" si="5"/>
        <v>0</v>
      </c>
      <c r="J53" s="1692">
        <f t="shared" si="5"/>
        <v>0</v>
      </c>
      <c r="K53" s="1692">
        <f t="shared" si="5"/>
        <v>583300</v>
      </c>
      <c r="L53" s="1692">
        <f t="shared" si="5"/>
        <v>617011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60171</v>
      </c>
      <c r="D60" s="466">
        <v>18288</v>
      </c>
      <c r="E60" s="466"/>
      <c r="F60" s="466"/>
      <c r="G60" s="466"/>
      <c r="H60" s="466">
        <v>974</v>
      </c>
      <c r="I60" s="467"/>
      <c r="J60" s="467"/>
      <c r="K60" s="1694">
        <f t="shared" si="7"/>
        <v>79433</v>
      </c>
      <c r="L60" s="466">
        <v>89373</v>
      </c>
      <c r="M60" s="610"/>
      <c r="N60" s="610"/>
    </row>
    <row r="61" spans="1:14" s="343" customFormat="1" x14ac:dyDescent="0.2">
      <c r="A61" s="1526" t="s">
        <v>206</v>
      </c>
      <c r="B61" s="615">
        <v>2540</v>
      </c>
      <c r="C61" s="466"/>
      <c r="D61" s="466"/>
      <c r="E61" s="466">
        <v>52185</v>
      </c>
      <c r="F61" s="466">
        <v>18603</v>
      </c>
      <c r="G61" s="466"/>
      <c r="H61" s="466"/>
      <c r="I61" s="467"/>
      <c r="J61" s="467"/>
      <c r="K61" s="1694">
        <f t="shared" si="7"/>
        <v>70788</v>
      </c>
      <c r="L61" s="466">
        <v>97324</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v>931</v>
      </c>
      <c r="G63" s="466"/>
      <c r="H63" s="466"/>
      <c r="I63" s="467"/>
      <c r="J63" s="467"/>
      <c r="K63" s="1694">
        <f t="shared" si="7"/>
        <v>931</v>
      </c>
      <c r="L63" s="466">
        <v>2500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60171</v>
      </c>
      <c r="D65" s="1692">
        <f t="shared" ref="D65:L65" si="8">SUM(D59:D64)</f>
        <v>18288</v>
      </c>
      <c r="E65" s="1692">
        <f t="shared" si="8"/>
        <v>52185</v>
      </c>
      <c r="F65" s="1692">
        <f t="shared" si="8"/>
        <v>19534</v>
      </c>
      <c r="G65" s="1692">
        <f t="shared" si="8"/>
        <v>0</v>
      </c>
      <c r="H65" s="1692">
        <f t="shared" si="8"/>
        <v>974</v>
      </c>
      <c r="I65" s="1692">
        <f t="shared" si="8"/>
        <v>0</v>
      </c>
      <c r="J65" s="1692">
        <f t="shared" si="8"/>
        <v>0</v>
      </c>
      <c r="K65" s="1692">
        <f t="shared" si="8"/>
        <v>151152</v>
      </c>
      <c r="L65" s="1692">
        <f t="shared" si="8"/>
        <v>189197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1108083</v>
      </c>
      <c r="D74" s="1699">
        <f t="shared" ref="D74:K74" si="10">SUM(D42,D47,D53,D57,D65,D72,D73)</f>
        <v>226726</v>
      </c>
      <c r="E74" s="1699">
        <f t="shared" si="10"/>
        <v>259978</v>
      </c>
      <c r="F74" s="1699">
        <f t="shared" si="10"/>
        <v>61781</v>
      </c>
      <c r="G74" s="1699">
        <f t="shared" si="10"/>
        <v>29601</v>
      </c>
      <c r="H74" s="1699">
        <f t="shared" si="10"/>
        <v>974</v>
      </c>
      <c r="I74" s="1699">
        <f t="shared" si="10"/>
        <v>0</v>
      </c>
      <c r="J74" s="1699">
        <f t="shared" si="10"/>
        <v>0</v>
      </c>
      <c r="K74" s="1699">
        <f t="shared" si="10"/>
        <v>1687143</v>
      </c>
      <c r="L74" s="1699">
        <f>SUM(L42,L47,L53,L57,L65,L72,L73)</f>
        <v>1700297</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174304</v>
      </c>
      <c r="I79" s="477"/>
      <c r="J79" s="477"/>
      <c r="K79" s="1693">
        <f t="shared" si="11"/>
        <v>174304</v>
      </c>
      <c r="L79" s="466">
        <v>179415</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410952</v>
      </c>
      <c r="I83" s="477"/>
      <c r="J83" s="477"/>
      <c r="K83" s="1693">
        <f t="shared" si="11"/>
        <v>410952</v>
      </c>
      <c r="L83" s="466">
        <v>465495</v>
      </c>
    </row>
    <row r="84" spans="1:12" ht="13.5" thickBot="1" x14ac:dyDescent="0.25">
      <c r="A84" s="1690" t="s">
        <v>1565</v>
      </c>
      <c r="B84" s="1700">
        <v>4100</v>
      </c>
      <c r="C84" s="617"/>
      <c r="D84" s="617"/>
      <c r="E84" s="1692">
        <f>SUM(E78:E83)</f>
        <v>0</v>
      </c>
      <c r="F84" s="617"/>
      <c r="G84" s="617"/>
      <c r="H84" s="1692">
        <f>SUM(H78:H83)</f>
        <v>585256</v>
      </c>
      <c r="I84" s="477"/>
      <c r="J84" s="477"/>
      <c r="K84" s="1692">
        <f>SUM(K78:K83)</f>
        <v>585256</v>
      </c>
      <c r="L84" s="1692">
        <f>SUM(L78:L83)</f>
        <v>644910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585256</v>
      </c>
      <c r="I102" s="477"/>
      <c r="J102" s="477"/>
      <c r="K102" s="1699">
        <f>SUM(K84,K92,K100,K101)</f>
        <v>585256</v>
      </c>
      <c r="L102" s="1699">
        <f>SUM(L84,L92,L100,L101)</f>
        <v>644910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1538737</v>
      </c>
      <c r="D114" s="1692">
        <f t="shared" ref="D114:K114" si="13">SUM(D33,D74,D75,D102,D112,D113)</f>
        <v>306066</v>
      </c>
      <c r="E114" s="1692">
        <f t="shared" si="13"/>
        <v>306941</v>
      </c>
      <c r="F114" s="1692">
        <f t="shared" si="13"/>
        <v>73660</v>
      </c>
      <c r="G114" s="1692">
        <f t="shared" si="13"/>
        <v>38195</v>
      </c>
      <c r="H114" s="1692">
        <f>SUM(H33,H74,H75,H102,H112,H113)</f>
        <v>586230</v>
      </c>
      <c r="I114" s="1692">
        <f t="shared" si="13"/>
        <v>0</v>
      </c>
      <c r="J114" s="1692">
        <f t="shared" si="13"/>
        <v>0</v>
      </c>
      <c r="K114" s="1692">
        <f t="shared" si="13"/>
        <v>2849829</v>
      </c>
      <c r="L114" s="1692">
        <f>SUM(L33,L74,L75,L102,L112,L113)</f>
        <v>3000270</v>
      </c>
    </row>
    <row r="115" spans="1:14" ht="13.5" thickTop="1" x14ac:dyDescent="0.2">
      <c r="A115" s="2205" t="s">
        <v>1053</v>
      </c>
      <c r="B115" s="2206"/>
      <c r="C115" s="619"/>
      <c r="D115" s="619"/>
      <c r="E115" s="619"/>
      <c r="F115" s="619"/>
      <c r="G115" s="619"/>
      <c r="H115" s="619"/>
      <c r="I115" s="619"/>
      <c r="J115" s="619"/>
      <c r="K115" s="1706">
        <f>'Revenues 9-14'!C275-'Expenditures 15-22'!K114</f>
        <v>98519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v>168141</v>
      </c>
      <c r="H124" s="466"/>
      <c r="I124" s="467"/>
      <c r="J124" s="467"/>
      <c r="K124" s="1692">
        <f>SUM(C124:J124)</f>
        <v>168141</v>
      </c>
      <c r="L124" s="466">
        <v>198878</v>
      </c>
    </row>
    <row r="125" spans="1:14" ht="14.25" thickTop="1" thickBot="1" x14ac:dyDescent="0.25">
      <c r="A125" s="1526" t="s">
        <v>1010</v>
      </c>
      <c r="B125" s="615">
        <v>2550</v>
      </c>
      <c r="C125" s="466"/>
      <c r="D125" s="466"/>
      <c r="E125" s="466"/>
      <c r="F125" s="466"/>
      <c r="G125" s="466"/>
      <c r="H125" s="466"/>
      <c r="I125" s="467"/>
      <c r="J125" s="467"/>
      <c r="K125" s="1692">
        <f>SUM(C125:J125)</f>
        <v>0</v>
      </c>
      <c r="L125" s="466">
        <v>20500</v>
      </c>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168141</v>
      </c>
      <c r="H127" s="1692">
        <f t="shared" si="14"/>
        <v>0</v>
      </c>
      <c r="I127" s="1692">
        <f t="shared" si="14"/>
        <v>0</v>
      </c>
      <c r="J127" s="1692">
        <f t="shared" si="14"/>
        <v>0</v>
      </c>
      <c r="K127" s="1692">
        <f t="shared" si="14"/>
        <v>168141</v>
      </c>
      <c r="L127" s="1692">
        <f t="shared" si="14"/>
        <v>219378</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168141</v>
      </c>
      <c r="H129" s="1699">
        <f t="shared" si="15"/>
        <v>0</v>
      </c>
      <c r="I129" s="1699">
        <f t="shared" si="15"/>
        <v>0</v>
      </c>
      <c r="J129" s="1699">
        <f t="shared" si="15"/>
        <v>0</v>
      </c>
      <c r="K129" s="1699">
        <f t="shared" si="15"/>
        <v>168141</v>
      </c>
      <c r="L129" s="1699">
        <f t="shared" si="15"/>
        <v>219378</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5" t="s">
        <v>641</v>
      </c>
      <c r="B151" s="2177"/>
      <c r="C151" s="1692">
        <f>SUM(C129,C130,C139,C149,C150)</f>
        <v>0</v>
      </c>
      <c r="D151" s="1692">
        <f t="shared" ref="D151:K151" si="16">SUM(D129,D130,D139,D149,D150)</f>
        <v>0</v>
      </c>
      <c r="E151" s="1692">
        <f t="shared" si="16"/>
        <v>0</v>
      </c>
      <c r="F151" s="1692">
        <f t="shared" si="16"/>
        <v>0</v>
      </c>
      <c r="G151" s="1692">
        <f t="shared" si="16"/>
        <v>168141</v>
      </c>
      <c r="H151" s="1692">
        <f t="shared" si="16"/>
        <v>0</v>
      </c>
      <c r="I151" s="1692">
        <f t="shared" si="16"/>
        <v>0</v>
      </c>
      <c r="J151" s="1692">
        <f t="shared" si="16"/>
        <v>0</v>
      </c>
      <c r="K151" s="1692">
        <f t="shared" si="16"/>
        <v>168141</v>
      </c>
      <c r="L151" s="1692">
        <f>SUM(L129,L130,L139,L149,L150)</f>
        <v>219378</v>
      </c>
    </row>
    <row r="152" spans="1:14" ht="12.75" customHeight="1" thickTop="1" x14ac:dyDescent="0.2">
      <c r="A152" s="2198" t="s">
        <v>1240</v>
      </c>
      <c r="B152" s="2199"/>
      <c r="C152" s="619"/>
      <c r="D152" s="619"/>
      <c r="E152" s="619"/>
      <c r="F152" s="619"/>
      <c r="G152" s="619"/>
      <c r="H152" s="619"/>
      <c r="I152" s="619"/>
      <c r="J152" s="617"/>
      <c r="K152" s="1706">
        <f>'Revenues 9-14'!D275-'Expenditures 15-22'!K151</f>
        <v>-92989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205" t="s">
        <v>1053</v>
      </c>
      <c r="B175" s="2206"/>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205" t="s">
        <v>1053</v>
      </c>
      <c r="B211" s="2206"/>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6" t="s">
        <v>526</v>
      </c>
      <c r="B295" s="2197"/>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205" t="s">
        <v>1053</v>
      </c>
      <c r="B296" s="2206"/>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3" t="s">
        <v>295</v>
      </c>
      <c r="B312" s="2194"/>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9" t="s">
        <v>1053</v>
      </c>
      <c r="B313" s="2190"/>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1" t="s">
        <v>1053</v>
      </c>
      <c r="B343" s="2192"/>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5" t="s">
        <v>1053</v>
      </c>
      <c r="B368" s="2206"/>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1" right="0.3" top="1" bottom="1"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SEFA-1</vt:lpstr>
      <vt:lpstr>SEFA-2</vt:lpstr>
      <vt:lpstr>SEFA-3</vt:lpstr>
      <vt:lpstr>SEFA NOTES 1</vt:lpstr>
      <vt:lpstr>SEFA NOTES 2</vt:lpstr>
      <vt:lpstr>SF&amp;QC Sec-1</vt:lpstr>
      <vt:lpstr>SF&amp;QC Sec-2</vt:lpstr>
      <vt:lpstr>SF&amp;QC Sec-3</vt:lpstr>
      <vt:lpstr>SSPAF</vt:lpstr>
      <vt:lpstr>' SEFA-1'!Print_Area</vt:lpstr>
      <vt:lpstr>'SEFA NOTES 1'!Print_Area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2018-12-13T00:46:31Z</cp:lastPrinted>
  <dcterms:created xsi:type="dcterms:W3CDTF">2003-10-29T19:06:34Z</dcterms:created>
  <dcterms:modified xsi:type="dcterms:W3CDTF">2018-12-19T21:24:42Z</dcterms:modified>
</cp:coreProperties>
</file>