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2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2 (2)" sheetId="188" r:id="rId36"/>
    <sheet name="SF&amp;QC Sec-3" sheetId="176" r:id="rId37"/>
    <sheet name="SSPAF" sheetId="177" r:id="rId38"/>
    <sheet name="Sheet1" sheetId="189" r:id="rId39"/>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6">'SF&amp;QC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D29" i="173" l="1"/>
  <c r="C34" i="173"/>
  <c r="K24" i="179"/>
  <c r="J24" i="179"/>
  <c r="I24" i="179"/>
  <c r="H24" i="179"/>
  <c r="G24" i="179"/>
  <c r="F24" i="179"/>
  <c r="F26" i="179" s="1"/>
  <c r="E24" i="179"/>
  <c r="K21" i="179"/>
  <c r="K26" i="179" s="1"/>
  <c r="K27" i="183" s="1"/>
  <c r="K27" i="186" s="1"/>
  <c r="J21" i="179"/>
  <c r="I21" i="179"/>
  <c r="H21" i="179"/>
  <c r="G21" i="179"/>
  <c r="G26" i="179" s="1"/>
  <c r="F21" i="179"/>
  <c r="E17" i="186"/>
  <c r="F17" i="186"/>
  <c r="G17" i="186"/>
  <c r="H17" i="186"/>
  <c r="I17" i="186"/>
  <c r="J17" i="186"/>
  <c r="K17" i="186"/>
  <c r="L17" i="186" s="1"/>
  <c r="E19" i="185"/>
  <c r="F19" i="185"/>
  <c r="G19" i="185"/>
  <c r="H19" i="185"/>
  <c r="I19" i="185"/>
  <c r="J19" i="185"/>
  <c r="K19" i="185"/>
  <c r="E21" i="184"/>
  <c r="F21" i="184"/>
  <c r="G21" i="184"/>
  <c r="H21" i="184"/>
  <c r="I21" i="184"/>
  <c r="J21" i="184"/>
  <c r="K21" i="184"/>
  <c r="E16" i="184"/>
  <c r="E24" i="184" s="1"/>
  <c r="E27" i="185" s="1"/>
  <c r="F16" i="184"/>
  <c r="F24" i="184" s="1"/>
  <c r="F27" i="185" s="1"/>
  <c r="G16" i="184"/>
  <c r="G24" i="184" s="1"/>
  <c r="H16" i="184"/>
  <c r="H24" i="184" s="1"/>
  <c r="I16" i="184"/>
  <c r="J16" i="184"/>
  <c r="J24" i="184" s="1"/>
  <c r="J27" i="185" s="1"/>
  <c r="K16" i="184"/>
  <c r="K24" i="184" s="1"/>
  <c r="K27" i="185" s="1"/>
  <c r="K24" i="183"/>
  <c r="J24" i="183"/>
  <c r="I24" i="183"/>
  <c r="H24" i="183"/>
  <c r="G24" i="183"/>
  <c r="F24" i="183"/>
  <c r="E24" i="183"/>
  <c r="K20" i="183"/>
  <c r="K25" i="183" s="1"/>
  <c r="J20" i="183"/>
  <c r="J25" i="183" s="1"/>
  <c r="I20" i="183"/>
  <c r="H20" i="183"/>
  <c r="H25" i="183" s="1"/>
  <c r="G20" i="183"/>
  <c r="G25" i="183" s="1"/>
  <c r="F20" i="183"/>
  <c r="F25" i="183" s="1"/>
  <c r="E20" i="183"/>
  <c r="E25" i="183" s="1"/>
  <c r="E21" i="179"/>
  <c r="K16" i="179"/>
  <c r="J16" i="179"/>
  <c r="I16" i="179"/>
  <c r="H16" i="179"/>
  <c r="G16" i="179"/>
  <c r="F16" i="179"/>
  <c r="E16" i="179"/>
  <c r="B4" i="188"/>
  <c r="L26" i="186"/>
  <c r="L25" i="186"/>
  <c r="L24" i="186"/>
  <c r="L23" i="186"/>
  <c r="L22" i="186"/>
  <c r="L21" i="186"/>
  <c r="L20" i="186"/>
  <c r="L19" i="186"/>
  <c r="L18" i="186"/>
  <c r="L16" i="186"/>
  <c r="L15" i="186"/>
  <c r="L14" i="186"/>
  <c r="L13" i="186"/>
  <c r="L12" i="186"/>
  <c r="L11" i="186"/>
  <c r="B4" i="186"/>
  <c r="L26" i="185"/>
  <c r="L25" i="185"/>
  <c r="L24" i="185"/>
  <c r="L23" i="185"/>
  <c r="L22" i="185"/>
  <c r="L21" i="185"/>
  <c r="L20" i="185"/>
  <c r="L19" i="185"/>
  <c r="L18" i="185"/>
  <c r="L17" i="185"/>
  <c r="L16" i="185"/>
  <c r="L15" i="185"/>
  <c r="L14" i="185"/>
  <c r="L13" i="185"/>
  <c r="L12" i="185"/>
  <c r="L11" i="185"/>
  <c r="B4" i="185"/>
  <c r="L27" i="184"/>
  <c r="L26" i="184"/>
  <c r="L25" i="184"/>
  <c r="L23" i="184"/>
  <c r="L22" i="184"/>
  <c r="L20" i="184"/>
  <c r="L19" i="184"/>
  <c r="L18" i="184"/>
  <c r="L17" i="184"/>
  <c r="L15" i="184"/>
  <c r="L14" i="184"/>
  <c r="L13" i="184"/>
  <c r="L12" i="184"/>
  <c r="L11" i="184"/>
  <c r="B4" i="184"/>
  <c r="L26" i="183"/>
  <c r="L24" i="183"/>
  <c r="L23" i="183"/>
  <c r="L22" i="183"/>
  <c r="L21" i="183"/>
  <c r="L19" i="183"/>
  <c r="L18" i="183"/>
  <c r="L17" i="183"/>
  <c r="L16" i="183"/>
  <c r="L15" i="183"/>
  <c r="L14" i="183"/>
  <c r="L13" i="183"/>
  <c r="L12" i="183"/>
  <c r="L11" i="183"/>
  <c r="B4" i="183"/>
  <c r="H27" i="185" l="1"/>
  <c r="G27" i="185"/>
  <c r="L20" i="183"/>
  <c r="I25" i="183"/>
  <c r="L25" i="183" s="1"/>
  <c r="L21" i="184"/>
  <c r="G27" i="183"/>
  <c r="F27" i="183"/>
  <c r="L16" i="184"/>
  <c r="I24" i="184"/>
  <c r="L24" i="184" s="1"/>
  <c r="E26" i="179"/>
  <c r="E27" i="183" s="1"/>
  <c r="F27" i="186"/>
  <c r="E27" i="186"/>
  <c r="H26" i="179"/>
  <c r="H27" i="183" s="1"/>
  <c r="H27" i="186" s="1"/>
  <c r="J26" i="179"/>
  <c r="J27" i="183" s="1"/>
  <c r="J27" i="186" s="1"/>
  <c r="I26" i="179"/>
  <c r="I27" i="183" s="1"/>
  <c r="G27" i="186"/>
  <c r="I27" i="185" l="1"/>
  <c r="L27" i="185" s="1"/>
  <c r="L27" i="183"/>
  <c r="I27" i="186" l="1"/>
  <c r="L27" i="186" s="1"/>
  <c r="H79" i="2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40" i="181"/>
  <c r="G40" i="181" s="1"/>
  <c r="E40" i="181"/>
  <c r="F39" i="181"/>
  <c r="G39" i="181" s="1"/>
  <c r="E39" i="181"/>
  <c r="F38" i="181"/>
  <c r="G38" i="181" s="1"/>
  <c r="E38" i="181"/>
  <c r="E37" i="181"/>
  <c r="F37" i="181" s="1"/>
  <c r="G37" i="181" s="1"/>
  <c r="F36" i="181"/>
  <c r="G36" i="181" s="1"/>
  <c r="E36" i="181"/>
  <c r="F35" i="181"/>
  <c r="G35" i="181" s="1"/>
  <c r="E35" i="181"/>
  <c r="F34" i="181"/>
  <c r="G34" i="181" s="1"/>
  <c r="E34" i="181"/>
  <c r="E33" i="181"/>
  <c r="F33" i="181" s="1"/>
  <c r="G33" i="181" s="1"/>
  <c r="F32" i="181"/>
  <c r="G32" i="181" s="1"/>
  <c r="E32" i="18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41" i="181" l="1"/>
  <c r="D80" i="36" l="1"/>
  <c r="B7797" i="106"/>
  <c r="E41" i="181"/>
  <c r="E17" i="181"/>
  <c r="E16" i="181"/>
  <c r="F16" i="181" s="1"/>
  <c r="G16" i="181" s="1"/>
  <c r="F17" i="181" l="1"/>
  <c r="G17" i="181" s="1"/>
  <c r="G41" i="181" s="1"/>
  <c r="G40" i="108" l="1"/>
  <c r="B7799" i="106"/>
  <c r="F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8"/>
  <c r="B1" i="186"/>
  <c r="B1" i="184"/>
  <c r="B2" i="179"/>
  <c r="B2" i="188"/>
  <c r="B2" i="186"/>
  <c r="B2" i="184"/>
  <c r="B2" i="185"/>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c r="B6744" i="106"/>
  <c r="D6744" i="106" s="1"/>
  <c r="B6745" i="106"/>
  <c r="D6745" i="106" s="1"/>
  <c r="B6746" i="106"/>
  <c r="D6746" i="106" s="1"/>
  <c r="B6747" i="106"/>
  <c r="D6747" i="106" s="1"/>
  <c r="B6748" i="106"/>
  <c r="D6748" i="106" s="1"/>
  <c r="B6749" i="106"/>
  <c r="D6749" i="106"/>
  <c r="B6750" i="106"/>
  <c r="D6750" i="106" s="1"/>
  <c r="B6751" i="106"/>
  <c r="D6751" i="106" s="1"/>
  <c r="B6752" i="106"/>
  <c r="D6752" i="106" s="1"/>
  <c r="B6753" i="106"/>
  <c r="D6753" i="106" s="1"/>
  <c r="B6754" i="106"/>
  <c r="D6754" i="106" s="1"/>
  <c r="B6755" i="106"/>
  <c r="D6755" i="106"/>
  <c r="B6756" i="106"/>
  <c r="D6756" i="106" s="1"/>
  <c r="B6757" i="106"/>
  <c r="D6757" i="106" s="1"/>
  <c r="B6758" i="106"/>
  <c r="D6758" i="106" s="1"/>
  <c r="B6759" i="106"/>
  <c r="D6759" i="106"/>
  <c r="B6760" i="106"/>
  <c r="D6760" i="106" s="1"/>
  <c r="B6761" i="106"/>
  <c r="D6761" i="106" s="1"/>
  <c r="B6762" i="106"/>
  <c r="D6762" i="106" s="1"/>
  <c r="B6763" i="106"/>
  <c r="D6763" i="106" s="1"/>
  <c r="B6764" i="106"/>
  <c r="D6764" i="106" s="1"/>
  <c r="B6765" i="106"/>
  <c r="D6765" i="106"/>
  <c r="B6766" i="106"/>
  <c r="D6766" i="106" s="1"/>
  <c r="B6767" i="106"/>
  <c r="D6767" i="106" s="1"/>
  <c r="B6768" i="106"/>
  <c r="D6768" i="106" s="1"/>
  <c r="B6769" i="106"/>
  <c r="D6769" i="106" s="1"/>
  <c r="B6770" i="106"/>
  <c r="D6770" i="106" s="1"/>
  <c r="B6771" i="106"/>
  <c r="D6771" i="106"/>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c r="B6782" i="106"/>
  <c r="D6782" i="106" s="1"/>
  <c r="B6783" i="106"/>
  <c r="D6783" i="106" s="1"/>
  <c r="B6784" i="106"/>
  <c r="D6784" i="106" s="1"/>
  <c r="B6785" i="106"/>
  <c r="D6785" i="106" s="1"/>
  <c r="B6786" i="106"/>
  <c r="D6786" i="106" s="1"/>
  <c r="B6787" i="106"/>
  <c r="D6787" i="106"/>
  <c r="B6788" i="106"/>
  <c r="D6788" i="106" s="1"/>
  <c r="B6789" i="106"/>
  <c r="D6789" i="106" s="1"/>
  <c r="B6790" i="106"/>
  <c r="D6790" i="106" s="1"/>
  <c r="B6791" i="106"/>
  <c r="D6791" i="106"/>
  <c r="B6792" i="106"/>
  <c r="D6792" i="106" s="1"/>
  <c r="B6793" i="106"/>
  <c r="D6793" i="106" s="1"/>
  <c r="B6794" i="106"/>
  <c r="D6794" i="106" s="1"/>
  <c r="B6795" i="106"/>
  <c r="D6795" i="106" s="1"/>
  <c r="B6796" i="106"/>
  <c r="D6796" i="106" s="1"/>
  <c r="B6797" i="106"/>
  <c r="D6797" i="106"/>
  <c r="B6798" i="106"/>
  <c r="D6798" i="106" s="1"/>
  <c r="B6799" i="106"/>
  <c r="D6799" i="106" s="1"/>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c r="B6814" i="106"/>
  <c r="D6814" i="106" s="1"/>
  <c r="B6815" i="106"/>
  <c r="D6815" i="106" s="1"/>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s="1"/>
  <c r="B6828" i="106"/>
  <c r="D6828" i="106" s="1"/>
  <c r="B6829" i="106"/>
  <c r="D6829" i="106"/>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40" i="106"/>
  <c r="D7240"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G27" i="108"/>
  <c r="F28" i="108"/>
  <c r="F31" i="108"/>
  <c r="F36" i="108"/>
  <c r="G28" i="108"/>
  <c r="E29" i="108"/>
  <c r="G29" i="108"/>
  <c r="G30" i="108"/>
  <c r="D31"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E4" i="4"/>
  <c r="B2630" i="106" s="1"/>
  <c r="D2630" i="106" s="1"/>
  <c r="D5" i="4"/>
  <c r="B3406" i="106" s="1"/>
  <c r="D3406" i="106" s="1"/>
  <c r="G5" i="4"/>
  <c r="B3409" i="106" s="1"/>
  <c r="D34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F131" i="34"/>
  <c r="F128" i="34"/>
  <c r="F111" i="34"/>
  <c r="B5847" i="106"/>
  <c r="D5847" i="106" s="1"/>
  <c r="B5752" i="106"/>
  <c r="D5752" i="106" s="1"/>
  <c r="B5599" i="106"/>
  <c r="D5599" i="106" s="1"/>
  <c r="H173" i="5"/>
  <c r="B5906" i="106" s="1"/>
  <c r="D5906" i="106" s="1"/>
  <c r="H109" i="5"/>
  <c r="B6025" i="106" s="1"/>
  <c r="D6025" i="106" s="1"/>
  <c r="F106" i="34"/>
  <c r="H4" i="4"/>
  <c r="B2655" i="106" s="1"/>
  <c r="D2655" i="106" s="1"/>
  <c r="H6" i="4"/>
  <c r="B2656" i="106" s="1"/>
  <c r="D2656" i="106" s="1"/>
  <c r="D12" i="7"/>
  <c r="B1769" i="106" s="1"/>
  <c r="D1769" i="106" s="1"/>
  <c r="D15" i="7"/>
  <c r="B1772" i="106" s="1"/>
  <c r="D1772" i="106" s="1"/>
  <c r="G173" i="5" l="1"/>
  <c r="B5778" i="106" s="1"/>
  <c r="D5778" i="106" s="1"/>
  <c r="B5770" i="106"/>
  <c r="D5770" i="106" s="1"/>
  <c r="B3669" i="106"/>
  <c r="D3669" i="106" s="1"/>
  <c r="K350" i="29"/>
  <c r="B3649" i="106"/>
  <c r="D3649" i="106" s="1"/>
  <c r="G367" i="29"/>
  <c r="B3621" i="106"/>
  <c r="D3621" i="106" s="1"/>
  <c r="C367" i="29"/>
  <c r="D11" i="7"/>
  <c r="B1768" i="106" s="1"/>
  <c r="D1768" i="106" s="1"/>
  <c r="D7" i="7"/>
  <c r="B1763" i="106" s="1"/>
  <c r="D1763" i="106" s="1"/>
  <c r="D109" i="5"/>
  <c r="C172" i="5"/>
  <c r="B5214" i="106" s="1"/>
  <c r="D5214" i="106" s="1"/>
  <c r="K274" i="5"/>
  <c r="F127" i="34"/>
  <c r="F130" i="34"/>
  <c r="F136" i="34"/>
  <c r="D13" i="7"/>
  <c r="B3726" i="106" s="1"/>
  <c r="D3726" i="106" s="1"/>
  <c r="G14" i="4"/>
  <c r="B2609" i="106" s="1"/>
  <c r="D2609" i="106" s="1"/>
  <c r="I274" i="5"/>
  <c r="K173" i="5"/>
  <c r="K6" i="4" s="1"/>
  <c r="B3570" i="106" s="1"/>
  <c r="D3570" i="106" s="1"/>
  <c r="F172" i="5"/>
  <c r="B5644" i="106" s="1"/>
  <c r="D5644" i="106" s="1"/>
  <c r="G109" i="5"/>
  <c r="B7727" i="106"/>
  <c r="D7727" i="106" s="1"/>
  <c r="F72" i="34"/>
  <c r="F50" i="34"/>
  <c r="F46" i="34"/>
  <c r="F44" i="34"/>
  <c r="F41" i="34"/>
  <c r="F35" i="34"/>
  <c r="G38" i="108"/>
  <c r="D37" i="108"/>
  <c r="E30" i="108"/>
  <c r="F37" i="108"/>
  <c r="E28" i="108"/>
  <c r="D52" i="36"/>
  <c r="K26" i="12"/>
  <c r="B7743" i="106" s="1"/>
  <c r="D7743" i="106" s="1"/>
  <c r="B7235" i="106"/>
  <c r="D7235" i="106" s="1"/>
  <c r="B2054" i="106"/>
  <c r="D2054" i="106" s="1"/>
  <c r="L13" i="11"/>
  <c r="B2060" i="106" s="1"/>
  <c r="D2060" i="106" s="1"/>
  <c r="F21" i="8"/>
  <c r="B1364" i="106"/>
  <c r="D1364" i="106" s="1"/>
  <c r="G210" i="29"/>
  <c r="E13" i="145"/>
  <c r="G13" i="145" s="1"/>
  <c r="B2724" i="106"/>
  <c r="D2724" i="106" s="1"/>
  <c r="K76" i="4"/>
  <c r="B3586" i="106" s="1"/>
  <c r="D3586" i="106" s="1"/>
  <c r="K285" i="29"/>
  <c r="B1410" i="106"/>
  <c r="D1410" i="106" s="1"/>
  <c r="B1329" i="106"/>
  <c r="D1329" i="106" s="1"/>
  <c r="F61" i="34"/>
  <c r="D54" i="36"/>
  <c r="L367" i="29"/>
  <c r="L342" i="29"/>
  <c r="L312" i="29"/>
  <c r="F27" i="108"/>
  <c r="C173" i="5"/>
  <c r="B5223" i="106" s="1"/>
  <c r="D5223" i="106" s="1"/>
  <c r="C109" i="5"/>
  <c r="B5121" i="106" s="1"/>
  <c r="D5121" i="106" s="1"/>
  <c r="B1746" i="106"/>
  <c r="D1746"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B1365" i="106" l="1"/>
  <c r="D1365" i="106" s="1"/>
  <c r="F65" i="34"/>
  <c r="B1879" i="106"/>
  <c r="D1879" i="106" s="1"/>
  <c r="H22" i="37"/>
  <c r="B6024" i="106"/>
  <c r="D6024" i="106" s="1"/>
  <c r="G4" i="4"/>
  <c r="B2603" i="106" s="1"/>
  <c r="D2603" i="106" s="1"/>
  <c r="B3670" i="106"/>
  <c r="D3670" i="106" s="1"/>
  <c r="K352" i="29"/>
  <c r="D7254" i="106"/>
  <c r="D7256" i="106"/>
  <c r="D7251" i="106"/>
  <c r="D7250" i="106"/>
  <c r="F274" i="5"/>
  <c r="F275" i="5" s="1"/>
  <c r="F73" i="34"/>
  <c r="G15" i="4"/>
  <c r="B6032" i="106" s="1"/>
  <c r="D6032" i="106" s="1"/>
  <c r="H367" i="29"/>
  <c r="B3660" i="106" s="1"/>
  <c r="D3660" i="106" s="1"/>
  <c r="B5356" i="106"/>
  <c r="D5356" i="106" s="1"/>
  <c r="D4" i="4"/>
  <c r="B2564" i="106" s="1"/>
  <c r="D2564" i="106" s="1"/>
  <c r="L114" i="29"/>
  <c r="B2031" i="106"/>
  <c r="D2031"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G41" i="108"/>
  <c r="G44" i="108" s="1"/>
  <c r="G45" i="108" s="1"/>
  <c r="J8" i="4"/>
  <c r="J20" i="4" s="1"/>
  <c r="F8" i="4"/>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10" i="171" l="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D20" i="4" l="1"/>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<sst xmlns="http://schemas.openxmlformats.org/spreadsheetml/2006/main" count="5483" uniqueCount="2230">
  <si>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</si>
  <si>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</si>
  <si>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</si>
  <si>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</si>
  <si>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</si>
  <si>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</si>
  <si>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</si>
  <si>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</si>
  <si>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</si>
  <si>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</si>
  <si>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</si>
  <si>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</si>
  <si>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</si>
  <si>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</si>
  <si>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</si>
  <si>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</si>
  <si>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</si>
  <si>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</si>
  <si>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</si>
  <si>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</si>
  <si>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</si>
  <si>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</si>
  <si>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</si>
  <si>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</si>
  <si>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</si>
  <si>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</si>
  <si>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</si>
  <si>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</si>
  <si>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</si>
  <si>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</si>
  <si>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</si>
  <si>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</si>
  <si>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</si>
  <si>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</si>
  <si>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</si>
  <si>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</si>
  <si>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</si>
  <si>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</si>
  <si>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</si>
  <si>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</si>
  <si>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</si>
  <si>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</si>
  <si>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</si>
  <si>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</si>
  <si>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</si>
  <si>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</si>
  <si>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</si>
  <si>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</si>
  <si>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</si>
  <si>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</si>
  <si>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</si>
  <si>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</si>
  <si>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</si>
  <si>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</si>
  <si>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</si>
  <si>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</si>
  <si>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</si>
  <si>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</si>
  <si>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</si>
  <si>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</si>
  <si>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</si>
  <si>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</si>
  <si>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</si>
  <si>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</si>
  <si>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</si>
  <si>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</si>
  <si>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</si>
  <si>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</si>
  <si>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</si>
  <si>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</si>
  <si>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</si>
  <si>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</si>
  <si>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</si>
  <si>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</si>
  <si>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</si>
  <si>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</si>
  <si>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</si>
  <si>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</si>
  <si>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</si>
  <si>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</si>
  <si>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</si>
  <si>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</si>
  <si>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</si>
  <si>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</si>
  <si>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</si>
  <si>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</si>
  <si>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</si>
  <si>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</si>
  <si>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</si>
  <si>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</si>
  <si>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</si>
  <si>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</si>
  <si>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</si>
  <si>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</si>
  <si>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</si>
  <si>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</si>
  <si>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</si>
  <si>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</si>
  <si>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</si>
  <si>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</si>
  <si>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</si>
  <si>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</si>
  <si>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</si>
  <si>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</si>
  <si>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</si>
  <si>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</si>
  <si>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</si>
  <si>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</si>
  <si>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</si>
  <si>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</si>
  <si>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</si>
  <si>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</si>
  <si>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</si>
  <si>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</si>
  <si>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</si>
  <si>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</si>
  <si>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</si>
  <si>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</si>
  <si>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</si>
  <si>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</si>
  <si>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</si>
  <si>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</si>
  <si>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</si>
  <si>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</si>
  <si>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</si>
  <si>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</si>
  <si>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</si>
  <si>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</si>
  <si>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</si>
  <si>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</si>
  <si>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</si>
  <si>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</si>
  <si>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</si>
  <si>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</si>
  <si>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</si>
  <si>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</si>
  <si>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</si>
  <si>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</si>
  <si>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</si>
  <si>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</si>
  <si>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</si>
  <si>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</si>
  <si>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</si>
  <si>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</si>
  <si>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</si>
  <si>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</si>
  <si>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</si>
  <si>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</si>
  <si>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</si>
  <si>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</si>
  <si>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</si>
  <si>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</si>
  <si>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</si>
  <si>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</si>
  <si>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</si>
  <si>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</si>
  <si>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</si>
  <si>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</si>
  <si>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</si>
  <si>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</si>
  <si>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</si>
  <si>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</si>
  <si>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</si>
  <si>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</si>
  <si>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</si>
  <si>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</si>
  <si>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</si>
  <si>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</si>
  <si>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</si>
  <si>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</si>
  <si>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</si>
  <si>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</si>
  <si>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</si>
  <si>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</si>
  <si>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</si>
  <si>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</si>
  <si>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</si>
  <si>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</si>
  <si>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</si>
  <si>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</si>
  <si>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</si>
  <si>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</si>
  <si>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</si>
  <si>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</si>
  <si>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</si>
  <si>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</si>
  <si>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</si>
  <si>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</si>
  <si>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</si>
  <si>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</si>
  <si>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</si>
  <si>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</si>
  <si>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</si>
  <si>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</si>
  <si>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</si>
  <si>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</si>
  <si>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</si>
  <si>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</si>
  <si>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</si>
  <si>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</si>
  <si>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</si>
  <si>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</si>
  <si>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</si>
  <si>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</si>
  <si>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</si>
  <si>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</si>
  <si>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</si>
  <si>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</si>
  <si>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</si>
  <si>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</si>
  <si>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</si>
  <si>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</si>
  <si>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</si>
  <si>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</si>
  <si>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</si>
  <si>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</si>
  <si>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</si>
  <si>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</si>
  <si>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</si>
  <si>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</si>
  <si>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</si>
  <si>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</si>
  <si>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</si>
  <si>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</si>
  <si>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</si>
  <si>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</si>
  <si>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</si>
  <si>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</si>
  <si>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</si>
  <si>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</si>
  <si>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</si>
  <si>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</si>
  <si>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</si>
  <si>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</si>
  <si>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</si>
  <si>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</si>
  <si>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</si>
  <si>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</si>
  <si>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</si>
  <si>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</si>
  <si>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</si>
  <si>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</si>
  <si>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</si>
  <si>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</si>
  <si>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</si>
  <si>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</si>
  <si>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</si>
  <si>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</si>
  <si>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</si>
  <si>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</si>
  <si>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</si>
  <si>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</si>
  <si>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</si>
  <si>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</si>
  <si>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</si>
  <si>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</si>
  <si>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</si>
  <si>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</si>
  <si>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</si>
  <si>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</si>
  <si>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</si>
  <si>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</si>
  <si>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</si>
  <si>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</si>
  <si>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</si>
  <si>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</si>
  <si>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</si>
  <si>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</si>
  <si>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</si>
  <si>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</si>
  <si>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</si>
  <si>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</si>
  <si>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</si>
  <si>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</si>
  <si>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</si>
  <si>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</si>
  <si>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</si>
  <si>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</si>
  <si>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</si>
  <si>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</si>
  <si>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</si>
  <si>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</si>
  <si>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</si>
  <si>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</si>
  <si>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</si>
  <si>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</si>
  <si>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</si>
  <si>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</si>
  <si>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</si>
  <si>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</si>
  <si>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</si>
  <si>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</si>
  <si>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</si>
  <si>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</si>
  <si>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</si>
  <si>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</si>
  <si>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</si>
  <si>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</si>
  <si>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</si>
  <si>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</si>
  <si>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</si>
  <si>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</si>
  <si>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</si>
  <si>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</si>
  <si>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</si>
  <si>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</si>
  <si>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</si>
  <si>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</si>
  <si>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</si>
  <si>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</si>
  <si>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</si>
  <si>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</si>
  <si>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</si>
  <si>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</si>
  <si>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</si>
  <si>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</si>
  <si>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</si>
  <si>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</si>
  <si>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</si>
  <si>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</si>
  <si>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</si>
  <si>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</si>
  <si>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</si>
  <si>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</si>
  <si>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</si>
  <si>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</si>
  <si>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</si>
  <si>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</si>
  <si>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</si>
  <si>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</si>
  <si>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</si>
  <si>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</si>
  <si>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</si>
  <si>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</si>
  <si>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</si>
  <si>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</si>
  <si>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</si>
  <si>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</si>
  <si>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</si>
  <si>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</si>
  <si>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</si>
  <si>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</si>
  <si>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</si>
  <si>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</si>
  <si>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</si>
  <si>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</si>
  <si>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</si>
  <si>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</si>
  <si>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</si>
  <si>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</si>
  <si>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</si>
  <si>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</si>
  <si>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</si>
  <si>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</si>
  <si>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</si>
  <si>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</si>
  <si>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</si>
  <si>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</si>
  <si>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</si>
  <si>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</si>
  <si>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</si>
  <si>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</si>
  <si>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</si>
  <si>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</si>
  <si>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</si>
  <si>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</si>
  <si>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</si>
  <si>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</si>
  <si>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</si>
  <si>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</si>
  <si>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</si>
  <si>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</si>
  <si>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</si>
  <si>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</si>
  <si>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</si>
  <si>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</si>
  <si>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</si>
  <si>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</si>
  <si>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</si>
  <si>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</si>
  <si>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</si>
  <si>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</si>
  <si>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</si>
  <si>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</si>
  <si>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</si>
  <si>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</si>
  <si>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</si>
  <si>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</si>
  <si>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</si>
  <si>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</si>
  <si>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</si>
  <si>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</si>
  <si>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</si>
  <si>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</si>
  <si>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</si>
  <si>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</si>
  <si>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</si>
  <si>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</si>
  <si>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</si>
  <si>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</si>
  <si>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</si>
  <si>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</si>
  <si>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</si>
  <si>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</si>
  <si>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</si>
  <si>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</si>
  <si>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</si>
  <si>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</si>
  <si>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</si>
  <si>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</si>
  <si>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</si>
  <si>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</si>
  <si>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</si>
  <si>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</si>
  <si>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</si>
  <si>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</si>
  <si>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</si>
  <si>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</si>
  <si>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</si>
  <si>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</si>
  <si>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</si>
  <si>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</si>
  <si>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</si>
  <si>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</si>
  <si>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</si>
  <si>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</si>
  <si>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</si>
  <si>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</si>
  <si>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</si>
  <si>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</si>
  <si>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</si>
  <si>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</si>
  <si>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</si>
  <si>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</si>
  <si>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</si>
  <si>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</si>
  <si>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</si>
  <si>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</si>
  <si>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</si>
  <si>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</si>
  <si>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</si>
  <si>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</si>
  <si>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</si>
  <si>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</si>
  <si>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</si>
  <si>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</si>
  <si>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</si>
  <si>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</si>
  <si>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</si>
  <si>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</si>
  <si>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</si>
  <si>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</si>
  <si>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</si>
  <si>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</si>
  <si>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</si>
  <si>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</si>
  <si>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</si>
  <si>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</si>
  <si>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</si>
  <si>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</si>
  <si>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</si>
  <si>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</si>
  <si>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</si>
  <si>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</si>
  <si>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</si>
  <si>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</si>
  <si>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</si>
  <si>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</si>
  <si>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</si>
  <si>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</si>
  <si>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</si>
  <si>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</si>
  <si>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</si>
  <si>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</si>
  <si>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</si>
  <si>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</si>
  <si>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</si>
  <si>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</si>
  <si>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</si>
  <si>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</si>
  <si>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</si>
  <si>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</si>
  <si>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</si>
  <si>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</si>
  <si>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</si>
  <si>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</si>
  <si>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</si>
  <si>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</si>
  <si>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</si>
  <si>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</si>
  <si>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</si>
  <si>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</si>
  <si>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</si>
  <si>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</si>
  <si>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</si>
  <si>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</si>
  <si>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</si>
  <si>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</si>
  <si>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</si>
  <si>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</si>
  <si>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</si>
  <si>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</si>
  <si>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</si>
  <si>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</si>
  <si>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</si>
  <si>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</si>
  <si>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</si>
  <si>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</si>
  <si>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</si>
  <si>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</si>
  <si>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</si>
  <si>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</si>
  <si>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</si>
  <si>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</si>
  <si>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</si>
  <si>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</si>
  <si>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</si>
  <si>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</si>
  <si>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</si>
  <si>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</si>
  <si>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</si>
  <si>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</si>
  <si>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</si>
  <si>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</si>
  <si>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</si>
  <si>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</si>
  <si>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</si>
  <si>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</si>
  <si>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</si>
  <si>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</si>
  <si>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</si>
  <si>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</si>
  <si>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</si>
  <si>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</si>
  <si>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</si>
  <si>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</si>
  <si>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</si>
  <si>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</si>
  <si>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</si>
  <si>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</si>
  <si>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</si>
  <si>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</si>
  <si>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</si>
  <si>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</si>
  <si>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</si>
  <si>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</si>
  <si>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</si>
  <si>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</si>
  <si>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</si>
  <si>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</si>
  <si>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</si>
  <si>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</si>
  <si>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</si>
  <si>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</si>
  <si>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</si>
  <si>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</si>
  <si>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</si>
  <si>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</si>
  <si>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</si>
  <si>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</si>
  <si>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</si>
  <si>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</si>
  <si>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</si>
  <si>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</si>
  <si>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</si>
  <si>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</si>
  <si>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</si>
  <si>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</si>
  <si>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</si>
  <si>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</si>
  <si>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</si>
  <si>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</si>
  <si>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</si>
  <si>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</si>
  <si>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</si>
  <si>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</si>
  <si>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</si>
  <si>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</si>
  <si>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</si>
  <si>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</si>
  <si>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</si>
  <si>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</si>
  <si>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</si>
  <si>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</si>
  <si>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</si>
  <si>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</si>
  <si>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</si>
  <si>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</si>
  <si>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</si>
  <si>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</si>
  <si>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</si>
  <si>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</si>
  <si>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</si>
  <si>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</si>
  <si>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</si>
  <si>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</si>
  <si>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</si>
  <si>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</si>
  <si>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</si>
  <si>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</si>
  <si>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</si>
  <si>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</si>
  <si>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</si>
  <si>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</si>
  <si>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</si>
  <si>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</si>
  <si>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</si>
  <si>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</si>
  <si>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</si>
  <si>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</si>
  <si>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</si>
  <si>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</si>
  <si>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</si>
  <si>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</si>
  <si>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</si>
  <si>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</si>
  <si>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</si>
  <si>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</si>
  <si>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</si>
  <si>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</si>
  <si>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</si>
  <si>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</si>
  <si>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</si>
  <si>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</si>
  <si>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</si>
  <si>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</si>
  <si>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</si>
  <si>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</si>
  <si>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</si>
  <si>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</si>
  <si>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</si>
  <si>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</si>
  <si>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</si>
  <si>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</si>
  <si>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</si>
  <si>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</si>
  <si>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</si>
  <si>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</si>
  <si>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</si>
  <si>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</si>
  <si>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</si>
  <si>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</si>
  <si>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</si>
  <si>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</si>
  <si>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</si>
  <si>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</si>
  <si>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</si>
  <si>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</si>
  <si>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</si>
  <si>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</si>
  <si>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</si>
  <si>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</si>
  <si>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</si>
  <si>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</si>
  <si>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</si>
  <si>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</si>
  <si>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</si>
  <si>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</si>
  <si>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</si>
  <si>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</si>
  <si>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</si>
  <si>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</si>
  <si>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</si>
  <si>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</si>
  <si>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</si>
  <si>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</si>
  <si>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</si>
  <si>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</si>
  <si>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</si>
  <si>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</si>
  <si>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</si>
  <si>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</si>
  <si>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</si>
  <si>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</si>
  <si>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</si>
  <si>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</si>
  <si>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</si>
  <si>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</si>
  <si>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</si>
  <si>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</si>
  <si>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</si>
  <si>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</si>
  <si>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</si>
  <si>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</si>
  <si>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</si>
  <si>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</si>
  <si>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</si>
  <si>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</si>
  <si>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</si>
  <si>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</si>
  <si>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</si>
  <si>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</si>
  <si>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</si>
  <si>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</si>
  <si>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</si>
  <si>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</si>
  <si>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</si>
  <si>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</si>
  <si>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</si>
  <si>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</si>
  <si>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</si>
  <si>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</si>
  <si>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</si>
  <si>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</si>
  <si>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</si>
  <si>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</si>
  <si>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</si>
  <si>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</si>
  <si>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</si>
  <si>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</si>
  <si>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</si>
  <si>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</si>
  <si>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</si>
  <si>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</si>
  <si>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</si>
  <si>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</si>
  <si>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</si>
  <si>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</si>
  <si>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</si>
  <si>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</si>
  <si>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</si>
  <si>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</si>
  <si>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</si>
  <si>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</si>
  <si>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</si>
  <si>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</si>
  <si>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</si>
  <si>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</si>
  <si>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</si>
  <si>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</si>
  <si>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</si>
  <si>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</si>
  <si>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</si>
  <si>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</si>
  <si>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</si>
  <si>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</si>
  <si>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</si>
  <si>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</si>
  <si>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</si>
  <si>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</si>
  <si>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</si>
  <si>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</si>
  <si>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</si>
  <si>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</si>
  <si>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</si>
  <si>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</si>
  <si>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</si>
  <si>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</si>
  <si>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</si>
  <si>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</si>
  <si>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</si>
  <si>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</si>
  <si>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</si>
  <si>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</si>
  <si>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</si>
  <si>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</si>
  <si>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</si>
  <si>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</si>
  <si>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</si>
  <si>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</si>
  <si>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</si>
  <si>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</si>
  <si>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</si>
  <si>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</si>
  <si>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</si>
  <si>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</si>
  <si>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</si>
  <si>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</si>
  <si>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</si>
  <si>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</si>
  <si>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</si>
  <si>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</si>
  <si>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</si>
  <si>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</si>
  <si>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</si>
  <si>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</si>
  <si>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</si>
  <si>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</si>
  <si>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</si>
  <si>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</si>
  <si>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</si>
  <si>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</si>
  <si>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</si>
  <si>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</si>
  <si>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</si>
  <si>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</si>
  <si>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</si>
  <si>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</si>
  <si>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</si>
  <si>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</si>
  <si>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</si>
  <si>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</si>
  <si>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</si>
  <si>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</si>
  <si>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</si>
  <si>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</si>
  <si>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</si>
  <si>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</si>
  <si>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</si>
  <si>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</si>
  <si>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</si>
  <si>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</si>
  <si>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</si>
  <si>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</si>
  <si>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</si>
  <si>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</si>
  <si>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</si>
  <si>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</si>
  <si>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</si>
  <si>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</si>
  <si>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</si>
  <si>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</si>
  <si>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</si>
  <si>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</si>
  <si>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</si>
  <si>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</si>
  <si>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</si>
  <si>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</si>
  <si>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</si>
  <si>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</si>
  <si>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</si>
  <si>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</si>
  <si>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</si>
  <si>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</si>
  <si>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</si>
  <si>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</si>
  <si>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</si>
  <si>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</si>
  <si>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</si>
  <si>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</si>
  <si>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</si>
  <si>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</si>
  <si>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</si>
  <si>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</si>
  <si>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</si>
  <si>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</si>
  <si>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</si>
  <si>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</si>
  <si>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</si>
  <si>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</si>
  <si>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</si>
  <si>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</si>
  <si>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</si>
  <si>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</si>
  <si>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</si>
  <si>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</si>
  <si>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</si>
  <si>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</si>
  <si>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</si>
  <si>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</si>
  <si>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</si>
  <si>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</si>
  <si>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</si>
  <si>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</si>
  <si>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</si>
  <si>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</si>
  <si>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</si>
  <si>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</si>
  <si>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</si>
  <si>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</si>
  <si>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</si>
  <si>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</si>
  <si>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</si>
  <si>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</si>
  <si>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</si>
  <si>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</si>
  <si>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</si>
  <si>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</si>
  <si>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</si>
  <si>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</si>
  <si>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</si>
  <si>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</si>
  <si>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</si>
  <si>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</si>
  <si>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</si>
  <si>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</si>
  <si>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</si>
  <si>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</si>
  <si>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</si>
  <si>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</si>
  <si>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</si>
  <si>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</si>
  <si>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</si>
  <si>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</si>
  <si>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</si>
  <si>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</si>
  <si>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</si>
  <si>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</si>
  <si>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</si>
  <si>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</si>
  <si>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</si>
  <si>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</si>
  <si>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</si>
  <si>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</si>
  <si>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</si>
  <si>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</si>
  <si>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</si>
  <si>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</si>
  <si>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</si>
  <si>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</si>
  <si>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</si>
  <si>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</si>
  <si>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</si>
  <si>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</si>
  <si>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</si>
  <si>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</si>
  <si>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</si>
  <si>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</si>
  <si>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</si>
  <si>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</si>
  <si>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</si>
  <si>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</si>
  <si>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</si>
  <si>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</si>
  <si>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</si>
  <si>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</si>
  <si>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</si>
  <si>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</si>
  <si>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</si>
  <si>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</si>
  <si>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</si>
  <si>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</si>
  <si>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</si>
  <si>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</si>
  <si>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</si>
  <si>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</si>
  <si>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</si>
  <si>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</si>
  <si>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</si>
  <si>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</si>
  <si>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</si>
  <si>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</si>
  <si>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</si>
  <si>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</si>
  <si>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</si>
  <si>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</si>
  <si>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</si>
  <si>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</si>
  <si>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</si>
  <si>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</si>
  <si>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</si>
  <si>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</si>
  <si>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</si>
  <si>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</si>
  <si>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</si>
  <si>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</si>
  <si>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</si>
  <si>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</si>
  <si>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</si>
  <si>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</si>
  <si>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</si>
  <si>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</si>
  <si>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</si>
  <si>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</si>
  <si>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</si>
  <si>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</si>
  <si>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</si>
  <si>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</si>
  <si>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</si>
  <si>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</si>
  <si>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</si>
  <si>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</si>
  <si>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</si>
  <si>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</si>
  <si>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</si>
  <si>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</si>
  <si>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</si>
  <si>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</si>
  <si>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</si>
  <si>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</si>
  <si>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</si>
  <si>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</si>
  <si>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</si>
  <si>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</si>
  <si>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</si>
  <si>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</si>
  <si>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</si>
  <si>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</si>
  <si>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</si>
  <si>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</si>
  <si>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</si>
  <si>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</si>
  <si>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</si>
  <si>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</si>
  <si>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</si>
  <si>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</si>
  <si>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</si>
  <si>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</si>
  <si>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</si>
  <si>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</si>
  <si>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</si>
  <si>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</si>
  <si>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</si>
  <si>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</si>
  <si>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</si>
  <si>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</si>
  <si>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</si>
  <si>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</si>
  <si>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</si>
  <si>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</si>
  <si>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</si>
  <si>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</si>
  <si>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</si>
  <si>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</si>
  <si>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</si>
  <si>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</si>
  <si>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</si>
  <si>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</si>
  <si>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</si>
  <si>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</si>
  <si>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</si>
  <si>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</si>
  <si>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</si>
  <si>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</si>
  <si>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</si>
  <si>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</si>
  <si>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</si>
  <si>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</si>
  <si>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</si>
  <si>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</si>
  <si>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</si>
  <si>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</si>
  <si>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</si>
  <si>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</si>
  <si>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</si>
  <si>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</si>
  <si>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</si>
  <si>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</si>
  <si>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</si>
  <si>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</si>
  <si>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</si>
  <si>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</si>
  <si>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</si>
  <si>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</si>
  <si>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</si>
  <si>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</si>
  <si>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</si>
  <si>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</si>
  <si>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</si>
  <si>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</si>
  <si>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</si>
  <si>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</si>
  <si>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</si>
  <si>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</si>
  <si>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</si>
  <si>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</si>
  <si>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</si>
  <si>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</si>
  <si>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</si>
  <si>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</si>
  <si>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</si>
  <si>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</si>
  <si>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</si>
  <si>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</si>
  <si>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</si>
  <si>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</si>
  <si>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</si>
  <si>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</si>
  <si>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</si>
  <si>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</si>
  <si>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</si>
  <si>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</si>
  <si>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</si>
  <si>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</si>
  <si>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</si>
  <si>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</si>
  <si>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</si>
  <si>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</si>
  <si>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</si>
  <si>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</si>
  <si>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</si>
  <si>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</si>
  <si>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</si>
  <si>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</si>
  <si>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</si>
  <si>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</si>
  <si>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</si>
  <si>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</si>
  <si>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</si>
  <si>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</si>
  <si>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</si>
  <si>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</si>
  <si>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</si>
  <si>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</si>
  <si>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</si>
  <si>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</si>
  <si>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</si>
  <si>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</si>
  <si>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</si>
  <si>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</si>
  <si>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</si>
  <si>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</si>
  <si>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</si>
  <si>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</si>
  <si>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</si>
  <si>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</si>
  <si>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</si>
  <si>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</si>
  <si>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</si>
  <si>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</si>
  <si>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</si>
  <si>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</si>
  <si>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</si>
  <si>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</si>
  <si>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</si>
  <si>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</si>
  <si>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</si>
  <si>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</si>
  <si>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</si>
  <si>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</si>
  <si>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</si>
  <si>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</si>
  <si>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</si>
  <si>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</si>
  <si>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</si>
  <si>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</si>
  <si>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</si>
  <si>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</si>
  <si>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</si>
  <si>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</si>
  <si>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</si>
  <si>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</si>
  <si>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</si>
  <si>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</si>
  <si>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</si>
  <si>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</si>
  <si>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</si>
  <si>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</si>
  <si>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</si>
  <si>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</si>
  <si>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</si>
  <si>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</si>
  <si>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</si>
  <si>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</si>
  <si>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</si>
  <si>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</si>
  <si>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</si>
  <si>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</si>
  <si>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</si>
  <si>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</si>
  <si>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</si>
  <si>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</si>
  <si>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</si>
  <si>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</si>
  <si>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</si>
  <si>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</si>
  <si>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</si>
  <si>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</si>
  <si>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</si>
  <si>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</si>
  <si>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</si>
  <si>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</si>
  <si>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</si>
  <si>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</si>
  <si>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</si>
  <si>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</si>
  <si>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</si>
  <si>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</si>
  <si>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</si>
  <si>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</si>
  <si>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</si>
  <si>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</si>
  <si>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</si>
  <si>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</si>
  <si>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</si>
  <si>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</si>
  <si>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</si>
  <si>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</si>
  <si>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</si>
  <si>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</si>
  <si>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</si>
  <si>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</si>
  <si>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</si>
  <si>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</si>
  <si>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</si>
  <si>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</si>
  <si>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</si>
  <si>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</si>
  <si>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</si>
  <si>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</si>
  <si>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</si>
  <si>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</si>
  <si>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</si>
  <si>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</si>
  <si>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</si>
  <si>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</si>
  <si>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</si>
  <si>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</si>
  <si>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</si>
  <si>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</si>
  <si>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</si>
  <si>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</si>
  <si>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</si>
  <si>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</si>
  <si>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</si>
  <si>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</si>
  <si>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</si>
  <si>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</si>
  <si>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</si>
  <si>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</si>
  <si>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</si>
  <si>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</si>
  <si>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</si>
  <si>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</si>
  <si>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</si>
  <si>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</si>
  <si>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</si>
  <si>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</si>
  <si>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</si>
  <si>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</si>
  <si>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</si>
  <si>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</si>
  <si>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</si>
  <si>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</si>
  <si>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</si>
  <si>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</si>
  <si>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</si>
  <si>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</si>
  <si>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</si>
  <si>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</si>
  <si>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</si>
  <si>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</si>
  <si>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</si>
  <si>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</si>
  <si>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</si>
  <si>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</si>
  <si>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</si>
  <si>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</si>
  <si>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</si>
  <si>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</si>
  <si>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</si>
  <si>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</si>
  <si>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</si>
  <si>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</si>
  <si>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</si>
  <si>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</si>
  <si>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</si>
  <si>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</si>
  <si>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</si>
  <si>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</si>
  <si>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</si>
  <si>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</si>
  <si>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</si>
  <si>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</si>
  <si>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</si>
  <si>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</si>
  <si>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</si>
  <si>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</si>
  <si>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</si>
  <si>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</si>
  <si>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</si>
  <si>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</si>
  <si>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</si>
  <si>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</si>
  <si>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</si>
  <si>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</si>
  <si>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</si>
  <si>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</si>
  <si>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</si>
  <si>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</si>
  <si>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</si>
  <si>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</si>
  <si>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</si>
  <si>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</si>
  <si>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</si>
  <si>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</si>
  <si>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</si>
  <si>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</si>
  <si>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</si>
  <si>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</si>
  <si>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</si>
  <si>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</si>
  <si>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</si>
  <si>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</si>
  <si>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</si>
  <si>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</si>
  <si>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</si>
  <si>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</si>
  <si>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</si>
  <si>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</si>
  <si>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</si>
  <si>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</si>
  <si>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</si>
  <si>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</si>
  <si>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</si>
  <si>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</si>
  <si>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</si>
  <si>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</si>
  <si>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</si>
  <si>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</si>
  <si>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</si>
  <si>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</si>
  <si>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</si>
  <si>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</si>
  <si>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</si>
  <si>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</si>
  <si>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</si>
  <si>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</si>
  <si>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</si>
  <si>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</si>
  <si>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</si>
  <si>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</si>
  <si>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</si>
  <si>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</si>
  <si>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</si>
  <si>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</si>
  <si>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</si>
  <si>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</si>
  <si>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</si>
  <si>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</si>
  <si>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</si>
  <si>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</si>
  <si>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</si>
  <si>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</si>
  <si>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</si>
  <si>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</si>
  <si>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</si>
  <si>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</si>
  <si>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</si>
  <si>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</si>
  <si>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</si>
  <si>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</si>
  <si>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</si>
  <si>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</si>
  <si>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</si>
  <si>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</si>
  <si>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</si>
  <si>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</si>
  <si>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</si>
  <si>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</si>
  <si>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</si>
  <si>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</si>
  <si>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</si>
  <si>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</si>
  <si>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</si>
  <si>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</si>
  <si>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</si>
  <si>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</si>
  <si>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</si>
  <si>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</si>
  <si>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</si>
  <si>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</si>
  <si>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</si>
  <si>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</si>
  <si>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</si>
  <si>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</si>
  <si>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</si>
  <si>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</si>
  <si>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</si>
  <si>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</si>
  <si>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</si>
  <si>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</si>
  <si>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</si>
  <si>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</si>
  <si>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</si>
  <si>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</si>
  <si>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</si>
  <si>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</si>
  <si>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</si>
  <si>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</si>
  <si>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</si>
  <si>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</si>
  <si>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</si>
  <si>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</si>
  <si>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</si>
  <si>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</si>
  <si>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</si>
  <si>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</si>
  <si>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</si>
  <si>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</si>
  <si>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</si>
  <si>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</si>
  <si>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</si>
  <si>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</si>
  <si>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</si>
  <si>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</si>
  <si>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</si>
  <si>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</si>
  <si>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</si>
  <si>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</si>
  <si>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</si>
  <si>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</si>
  <si>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</si>
  <si>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</si>
  <si>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</si>
  <si>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</si>
  <si>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</si>
  <si>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</si>
  <si>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</si>
  <si>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</si>
  <si>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</si>
  <si>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</si>
  <si>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</si>
  <si>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</si>
  <si>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</si>
  <si>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</si>
  <si>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</si>
  <si>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</si>
  <si>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</si>
  <si>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</si>
  <si>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</si>
  <si>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</si>
  <si>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</si>
  <si>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</si>
  <si>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</si>
  <si>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</si>
  <si>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</si>
  <si>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</si>
  <si>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</si>
  <si>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</si>
  <si>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</si>
  <si>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</si>
  <si>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</si>
  <si>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</si>
  <si>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</si>
  <si>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</si>
  <si>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</si>
  <si>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</si>
  <si>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</si>
  <si>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</si>
  <si>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</si>
  <si>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</si>
  <si>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</si>
  <si>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</si>
  <si>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</si>
  <si>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</si>
  <si>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</si>
  <si>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</si>
  <si>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</si>
  <si>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</si>
  <si>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</si>
  <si>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</si>
  <si>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</si>
  <si>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</si>
  <si>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</si>
  <si>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</si>
  <si>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</si>
  <si>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</si>
  <si>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</si>
  <si>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</si>
  <si>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</si>
  <si>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</si>
  <si>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</si>
  <si>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</si>
  <si>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</si>
  <si>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</si>
  <si>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</si>
  <si>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</si>
  <si>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</si>
  <si>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</si>
  <si>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</si>
  <si>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</si>
  <si>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</si>
  <si>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</si>
  <si>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</si>
  <si>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</si>
  <si>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</si>
  <si>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</si>
  <si>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</si>
  <si>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</si>
  <si>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</si>
  <si>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</si>
  <si>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</si>
  <si>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</si>
  <si>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</si>
  <si>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</si>
  <si>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</si>
  <si>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</si>
  <si>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</si>
  <si>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</si>
  <si>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</si>
  <si>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</si>
  <si>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</si>
  <si>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</si>
  <si>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</si>
  <si>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</si>
  <si>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</si>
  <si>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</si>
  <si>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</si>
  <si>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</si>
  <si>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</si>
  <si>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</si>
  <si>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</si>
  <si>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</si>
  <si>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</si>
  <si>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</si>
  <si>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</si>
  <si>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</si>
  <si>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</si>
  <si>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</si>
  <si>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</si>
  <si>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</si>
  <si>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</si>
  <si>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</si>
  <si>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</si>
  <si>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</si>
  <si>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</si>
  <si>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</si>
  <si>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</si>
  <si>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</si>
  <si>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</si>
  <si>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</si>
  <si>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</si>
  <si>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</si>
  <si>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</si>
  <si>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</si>
  <si>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</si>
  <si>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</si>
  <si>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</si>
  <si>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</si>
  <si>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</si>
  <si>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</si>
  <si>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</si>
  <si>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</si>
  <si>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</si>
  <si>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</si>
  <si>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</si>
  <si>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</si>
  <si>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</si>
  <si>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</si>
  <si>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</si>
  <si>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</si>
  <si>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</si>
  <si>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</si>
  <si>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</si>
  <si>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</si>
  <si>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</si>
  <si>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</si>
  <si>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</si>
  <si>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</si>
  <si>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</si>
  <si>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</si>
  <si>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</si>
  <si>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</si>
  <si>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</si>
  <si>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</si>
  <si>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</si>
  <si>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</si>
  <si>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</si>
  <si>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</si>
  <si>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</si>
  <si>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</si>
  <si>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</si>
  <si>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</si>
  <si>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</si>
  <si>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</si>
  <si>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</si>
  <si>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</si>
  <si>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</si>
  <si>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</si>
  <si>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</si>
  <si>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</si>
  <si>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</si>
  <si>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</si>
  <si>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</si>
  <si>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</si>
  <si>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</si>
  <si>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</si>
  <si>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</si>
  <si>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</si>
  <si>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</si>
  <si>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</si>
  <si>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</si>
  <si>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</si>
  <si>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</si>
  <si>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</si>
  <si>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</si>
  <si>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</si>
  <si>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</si>
  <si>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</si>
  <si>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</si>
  <si>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</si>
  <si>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</si>
  <si>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</si>
  <si>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</si>
  <si>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</si>
  <si>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</si>
  <si>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</si>
  <si>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</si>
  <si>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</si>
  <si>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</si>
  <si>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</si>
  <si>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</si>
  <si>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</si>
  <si>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</si>
  <si>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</si>
  <si>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</si>
  <si>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</si>
  <si>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</si>
  <si>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</si>
  <si>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</si>
  <si>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</si>
  <si>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</si>
  <si>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</si>
  <si>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</si>
  <si>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</si>
  <si>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</si>
  <si>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</si>
  <si>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</si>
  <si>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</si>
  <si>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</si>
  <si>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</si>
  <si>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</si>
  <si>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</si>
  <si>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</si>
  <si>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</si>
  <si>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</si>
  <si>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</si>
  <si>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</si>
  <si>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</si>
  <si>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</si>
  <si>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</si>
  <si>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</si>
  <si>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</si>
  <si>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</si>
  <si>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</si>
  <si>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</si>
  <si>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</si>
  <si>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</si>
  <si>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</si>
  <si>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</si>
  <si>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</si>
  <si>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</si>
  <si>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</si>
  <si>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</si>
  <si>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</si>
  <si>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</si>
  <si>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</si>
  <si>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</si>
  <si>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</si>
  <si>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</si>
  <si>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</si>
  <si>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</si>
  <si>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</si>
  <si>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</si>
  <si>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</si>
  <si>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</si>
  <si>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</si>
  <si>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</si>
  <si>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</si>
  <si>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</si>
  <si>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</si>
  <si>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</si>
  <si>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</si>
  <si>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</si>
  <si>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</si>
  <si>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</si>
  <si>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</si>
  <si>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</si>
  <si>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</si>
  <si>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</si>
  <si>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</si>
  <si>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</si>
  <si>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</si>
  <si>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</si>
  <si>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</si>
  <si>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</si>
  <si>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</si>
  <si>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</si>
  <si>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</si>
  <si>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</si>
  <si>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</si>
  <si>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</si>
  <si>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</si>
  <si>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</si>
  <si>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</si>
  <si>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</si>
  <si>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</si>
  <si>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</si>
  <si>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</si>
  <si>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</si>
  <si>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</si>
  <si>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</si>
  <si>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</si>
  <si>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</si>
  <si>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</si>
  <si>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</si>
  <si>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</si>
  <si>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</si>
  <si>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</si>
  <si>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</si>
  <si>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</si>
  <si>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</si>
  <si>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</si>
  <si>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</si>
  <si>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</si>
  <si>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</si>
  <si>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</si>
  <si>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</si>
  <si>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</si>
  <si>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</si>
  <si>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</si>
  <si>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</si>
  <si>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</si>
  <si>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</si>
  <si>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</si>
  <si>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</si>
  <si>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</si>
  <si>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</si>
  <si>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</si>
  <si>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</si>
  <si>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</si>
  <si>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</si>
  <si>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</si>
  <si>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</si>
  <si>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</si>
  <si>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</si>
  <si>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</si>
  <si>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</si>
  <si>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</si>
  <si>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</si>
  <si>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</si>
  <si>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</si>
  <si>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</si>
  <si>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</si>
  <si>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</si>
  <si>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</si>
  <si>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</si>
  <si>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</si>
  <si>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</si>
  <si>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</si>
  <si>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</si>
  <si>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</si>
  <si>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</si>
  <si>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</si>
  <si>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</si>
  <si>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</si>
  <si>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</si>
  <si>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</si>
  <si>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</si>
  <si>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</si>
  <si>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</si>
  <si>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</si>
  <si>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</si>
  <si>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</si>
  <si>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</si>
  <si>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</si>
  <si>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</si>
  <si>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</si>
  <si>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</si>
  <si>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</si>
  <si>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</si>
  <si>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</si>
  <si>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</si>
  <si>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</si>
  <si>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</si>
  <si>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</si>
  <si>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</si>
  <si>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</si>
  <si>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</si>
  <si>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</si>
  <si>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</si>
  <si>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</si>
  <si>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</si>
  <si>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</si>
  <si>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</si>
  <si>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</si>
  <si>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</si>
  <si>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</si>
  <si>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</si>
  <si>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</si>
  <si>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</si>
  <si>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</si>
  <si>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</si>
  <si>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</si>
  <si>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</si>
  <si>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</si>
  <si>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</si>
  <si>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</si>
  <si>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</si>
  <si>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</si>
  <si>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</si>
  <si>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</si>
  <si>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</si>
  <si>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</si>
  <si>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</si>
  <si>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</si>
  <si>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</si>
  <si>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</si>
  <si>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</si>
  <si>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</si>
  <si>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</si>
  <si>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</si>
  <si>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</si>
  <si>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</si>
  <si>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</si>
  <si>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</si>
  <si>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</si>
  <si>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</si>
  <si>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</si>
  <si>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</si>
  <si>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</si>
  <si>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</si>
  <si>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</si>
  <si>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</si>
  <si>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</si>
  <si>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</si>
  <si>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</si>
  <si>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</si>
  <si>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</si>
  <si>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</si>
  <si>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</si>
  <si>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</si>
  <si>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</si>
  <si>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</si>
  <si>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</si>
  <si>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</si>
  <si>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</si>
  <si>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</si>
  <si>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</si>
  <si>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</si>
  <si>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</si>
  <si>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</si>
  <si>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</si>
  <si>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</si>
  <si>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</si>
  <si>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</si>
  <si>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</si>
  <si>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</si>
  <si>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</si>
  <si>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</si>
  <si>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</si>
  <si>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</si>
  <si>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</si>
  <si>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</si>
  <si>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</si>
  <si>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</si>
  <si>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</si>
  <si>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</si>
  <si>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</si>
  <si>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</si>
  <si>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</si>
  <si>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</si>
  <si>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</si>
  <si>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</si>
  <si>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</si>
  <si>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</si>
  <si>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</si>
  <si>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</si>
  <si>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</si>
  <si>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</si>
  <si>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</si>
  <si>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</si>
  <si>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</si>
  <si>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</si>
  <si>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</si>
  <si>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</si>
  <si>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</si>
  <si>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</si>
  <si>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</si>
  <si>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</si>
  <si>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</si>
  <si>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</si>
  <si>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</si>
  <si>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</si>
  <si>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</si>
  <si>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</si>
  <si>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</si>
  <si>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</si>
  <si>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</si>
  <si>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</si>
  <si>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</si>
  <si>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</si>
  <si>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</si>
  <si>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</si>
  <si>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</si>
  <si>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</si>
  <si>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</si>
  <si>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</si>
  <si>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</si>
  <si>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</si>
  <si>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</si>
  <si>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</si>
  <si>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</si>
  <si>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</si>
  <si>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</si>
  <si>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</si>
  <si>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</si>
  <si>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</si>
  <si>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</si>
  <si>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</si>
  <si>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</si>
  <si>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</si>
  <si>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</si>
  <si>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</si>
  <si>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</si>
  <si>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</si>
  <si>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</si>
  <si>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</si>
  <si>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</si>
  <si>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</si>
  <si>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</si>
  <si>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</si>
  <si>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</si>
  <si>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</si>
  <si>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</si>
  <si>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</si>
  <si>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</si>
  <si>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</si>
  <si>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</si>
  <si>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</si>
  <si>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</si>
  <si>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</si>
  <si>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</si>
  <si>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</si>
  <si>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</si>
  <si>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</si>
  <si>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</si>
  <si>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</si>
  <si>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</si>
  <si>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</si>
  <si>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</si>
  <si>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</si>
  <si>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</si>
  <si>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</si>
  <si>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</si>
  <si>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</si>
  <si>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</si>
  <si>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</si>
  <si>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</si>
  <si>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</si>
  <si>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</si>
  <si>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</si>
  <si>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</si>
  <si>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</si>
  <si>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</si>
  <si>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</si>
  <si>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</si>
  <si>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</si>
  <si>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</si>
  <si>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</si>
  <si>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</si>
  <si>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</si>
  <si>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</si>
  <si>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</si>
  <si>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</si>
  <si>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</si>
  <si>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</si>
  <si>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</si>
  <si>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</si>
  <si>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</si>
  <si>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</si>
  <si>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</si>
  <si>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</si>
  <si>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</si>
  <si>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</si>
  <si>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</si>
  <si>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</si>
  <si>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</si>
  <si>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</si>
  <si>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</si>
  <si>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</si>
  <si>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</si>
  <si>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</si>
  <si>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</si>
  <si>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</si>
  <si>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</si>
  <si>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</si>
  <si>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</si>
  <si>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</si>
  <si>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</si>
  <si>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</si>
  <si>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</si>
  <si>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</si>
  <si>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</si>
  <si>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</si>
  <si>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</si>
  <si>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</si>
  <si>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</si>
  <si>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</si>
  <si>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</si>
  <si>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</si>
  <si>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</si>
  <si>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</si>
  <si>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</si>
  <si>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</si>
  <si>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</si>
  <si>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</si>
  <si>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</si>
  <si>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</si>
  <si>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</si>
  <si>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</si>
  <si>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</si>
  <si>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</si>
  <si>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</si>
  <si>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</si>
  <si>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</si>
  <si>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</si>
  <si>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</si>
  <si>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</si>
  <si>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</si>
  <si>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</si>
  <si>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</si>
  <si>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</si>
  <si>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</si>
  <si>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</si>
  <si>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</si>
  <si>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</si>
  <si>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</si>
  <si>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</si>
  <si>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</si>
  <si>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</si>
  <si>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</si>
  <si>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</si>
  <si>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</si>
  <si>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</si>
  <si>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</si>
  <si>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</si>
  <si>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</si>
  <si>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</si>
  <si>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</si>
  <si>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</si>
  <si>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</si>
  <si>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</si>
  <si>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</si>
  <si>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</si>
  <si>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</si>
  <si>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</si>
  <si>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</si>
  <si>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</si>
  <si>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</si>
  <si>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</si>
  <si>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</si>
  <si>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</si>
  <si>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</si>
  <si>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</si>
  <si>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</si>
  <si>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</si>
  <si>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</si>
  <si>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</si>
  <si>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</si>
  <si>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</si>
  <si>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</si>
  <si>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</si>
  <si>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</si>
  <si>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</si>
  <si>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</si>
  <si>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</si>
  <si>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</si>
  <si>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</si>
  <si>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</si>
  <si>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</si>
  <si>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</si>
  <si>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</si>
  <si>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</si>
  <si>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</si>
  <si>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</si>
  <si>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</si>
  <si>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</si>
  <si>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</si>
  <si>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</si>
  <si>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</si>
  <si>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</si>
  <si>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</si>
  <si>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</si>
  <si>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</si>
  <si>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</si>
  <si>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</si>
  <si>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</si>
  <si>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</si>
  <si>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</si>
  <si>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</si>
  <si>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</si>
  <si>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</si>
  <si>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</si>
  <si>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</si>
  <si>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</si>
  <si>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</si>
  <si>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</si>
  <si>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</si>
  <si>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</si>
  <si>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</si>
  <si>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</si>
  <si>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</si>
  <si>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Jackson, Perry, and Union</t>
  </si>
  <si>
    <t>17258 Shomaker Drive</t>
  </si>
  <si>
    <t>Murphysboro</t>
  </si>
  <si>
    <t>Jan Pearcy</t>
  </si>
  <si>
    <t>618-684-2109</t>
  </si>
  <si>
    <t>618-687-1638</t>
  </si>
  <si>
    <t>Emling &amp; Hoffman, fPC</t>
  </si>
  <si>
    <t>Donald L Hoffman</t>
  </si>
  <si>
    <t>1191 West St. Louis Street</t>
  </si>
  <si>
    <t>Nashville</t>
  </si>
  <si>
    <t>IL</t>
  </si>
  <si>
    <t>618-327-4375</t>
  </si>
  <si>
    <t>618-327-4376</t>
  </si>
  <si>
    <t>060-004252</t>
  </si>
  <si>
    <t>donhoffman@emlingcpa.com</t>
  </si>
  <si>
    <t>Cheryl Graff</t>
  </si>
  <si>
    <t>cgraff@roe30.org</t>
  </si>
  <si>
    <t>618-687-7290</t>
  </si>
  <si>
    <t>618-687-7296</t>
  </si>
  <si>
    <t>Districts #186,165,140,300,43,81,Choate</t>
  </si>
  <si>
    <t>District #186</t>
  </si>
  <si>
    <t>Districts #165,140,186,300,43,81</t>
  </si>
  <si>
    <r>
      <t xml:space="preserve">The accompanying Schedule of Expenditures of Federal Awards includes the federal grant activity of </t>
    </r>
    <r>
      <rPr>
        <b/>
        <sz val="9"/>
        <rFont val="Calibri"/>
        <family val="2"/>
        <scheme val="minor"/>
      </rPr>
      <t xml:space="preserve">Tri-County Special Education Joint Agreement </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</si>
  <si>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 xml:space="preserve">Of the federal expenditures presented in the schedule, </t>
    </r>
    <r>
      <rPr>
        <b/>
        <sz val="9"/>
        <rFont val="Calibri"/>
        <family val="2"/>
        <scheme val="minor"/>
      </rPr>
      <t xml:space="preserve">Tri-County Special Education Joint Agreement </t>
    </r>
    <r>
      <rPr>
        <sz val="9"/>
        <rFont val="Calibri"/>
        <family val="2"/>
        <scheme val="minor"/>
      </rPr>
      <t>provided federal awards to subrecipients as follows:</t>
    </r>
  </si>
  <si>
    <r>
      <t>The following amounts were expended in the form of non-cash assistance by Tri-County Special Education Joint Agreement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</si>
  <si>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</si>
  <si>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Segregation of Duties</t>
  </si>
  <si>
    <t>Not corrected due to limited resources</t>
  </si>
  <si>
    <t>Lack of Certified Staff on Hand</t>
  </si>
  <si>
    <t>2017 -001</t>
  </si>
  <si>
    <t>2017-002</t>
  </si>
  <si>
    <t>2017-003</t>
  </si>
  <si>
    <t>Undercollateralized at a Local Bank</t>
  </si>
  <si>
    <t>Corrected</t>
  </si>
  <si>
    <t>NA</t>
  </si>
  <si>
    <t xml:space="preserve">Page 11:  Line 107:  Other Local Revenue:  E-rate reimb ,  Kids in Need Grant , Coats for Kids , Utilities, Orientation &amp; Mobility </t>
  </si>
  <si>
    <t xml:space="preserve">Page 13:  Line 215:  Title IV-Other:  Transition Grant,  CTE Step Grant </t>
  </si>
  <si>
    <t>US Department of Education</t>
  </si>
  <si>
    <t xml:space="preserve">  Flow Through Illinois State Board of Education</t>
  </si>
  <si>
    <t xml:space="preserve">    Preschool </t>
  </si>
  <si>
    <t>84.173A</t>
  </si>
  <si>
    <t xml:space="preserve">      Project Year 2017 </t>
  </si>
  <si>
    <t>2017-4600</t>
  </si>
  <si>
    <t>2018-4600</t>
  </si>
  <si>
    <t xml:space="preserve">    IDEA </t>
  </si>
  <si>
    <t>84.027A</t>
  </si>
  <si>
    <t xml:space="preserve">      Project Year 2017  (M)</t>
  </si>
  <si>
    <t xml:space="preserve">          TOTAL 2017</t>
  </si>
  <si>
    <t xml:space="preserve">      Project Year 2018  (M)</t>
  </si>
  <si>
    <t>2017-4620</t>
  </si>
  <si>
    <t>2017-2200</t>
  </si>
  <si>
    <t>2018-4620</t>
  </si>
  <si>
    <t>2018-2200</t>
  </si>
  <si>
    <t xml:space="preserve">          TOTAL 2018</t>
  </si>
  <si>
    <t>Total CFDA #84.027A</t>
  </si>
  <si>
    <t xml:space="preserve">  Flow Through Regional Office of Education</t>
  </si>
  <si>
    <t xml:space="preserve">    ISTEM</t>
  </si>
  <si>
    <t xml:space="preserve">      Project Year 2017</t>
  </si>
  <si>
    <t xml:space="preserve">      Project Year 2018</t>
  </si>
  <si>
    <t>2018-4999</t>
  </si>
  <si>
    <t xml:space="preserve">  Flow Through Illinois Comptroller</t>
  </si>
  <si>
    <t xml:space="preserve">    CTE  - Step Grant</t>
  </si>
  <si>
    <t>2017-4499</t>
  </si>
  <si>
    <t>2018-4499</t>
  </si>
  <si>
    <t xml:space="preserve">    Transition Grant</t>
  </si>
  <si>
    <t xml:space="preserve">  TOTAL Flow Through Illnois Dept of Human Services CFDA # 84.126</t>
  </si>
  <si>
    <t>Total Department of Education</t>
  </si>
  <si>
    <t>US Department of Agriculture</t>
  </si>
  <si>
    <t xml:space="preserve">    National Lunch </t>
  </si>
  <si>
    <t>2017-4210</t>
  </si>
  <si>
    <t xml:space="preserve">  TOTAL CFDA #10.555</t>
  </si>
  <si>
    <t>2018-4210</t>
  </si>
  <si>
    <t xml:space="preserve">    National Breakfast</t>
  </si>
  <si>
    <t>2017-4220</t>
  </si>
  <si>
    <t xml:space="preserve">  TOTAL CFDA #10.553</t>
  </si>
  <si>
    <t>2018-4220</t>
  </si>
  <si>
    <t xml:space="preserve">    Food Commodities 2017</t>
  </si>
  <si>
    <t xml:space="preserve">    Department of Defense - Fresh Fruits &amp; Veggies </t>
  </si>
  <si>
    <t>17-4240</t>
  </si>
  <si>
    <t>18-4240</t>
  </si>
  <si>
    <t>16-4299</t>
  </si>
  <si>
    <t xml:space="preserve">    NSLP Equip Grant</t>
  </si>
  <si>
    <t>Total Department of Agriculture</t>
  </si>
  <si>
    <t xml:space="preserve">  TOTAL Flow through Illinois State Board of Education</t>
  </si>
  <si>
    <t>Department of Health and Human Services</t>
  </si>
  <si>
    <t xml:space="preserve">  Flow Through State of Illinois Healthcare &amp; Family Services</t>
  </si>
  <si>
    <t xml:space="preserve">    Flow Thru Murphysboro CUSD </t>
  </si>
  <si>
    <t xml:space="preserve">    Administrative Outreach</t>
  </si>
  <si>
    <t xml:space="preserve">      Project Year 2017 (M)</t>
  </si>
  <si>
    <t>2017-4900</t>
  </si>
  <si>
    <t>2018-4900</t>
  </si>
  <si>
    <t xml:space="preserve">  Total Department of Health and Human Services</t>
  </si>
  <si>
    <t>Total Federal Awards</t>
  </si>
  <si>
    <t>US.  Department of Education - IDEA</t>
  </si>
  <si>
    <t xml:space="preserve">US Department of Agriculture - Child Nutrition </t>
  </si>
  <si>
    <t>IDEA - 2017</t>
  </si>
  <si>
    <t xml:space="preserve">   Carbondale High School #165</t>
  </si>
  <si>
    <t xml:space="preserve">    DuQuoin Community Unit School District #300</t>
  </si>
  <si>
    <t xml:space="preserve">   Murphysboro School District #186</t>
  </si>
  <si>
    <t xml:space="preserve">   Carbondale School District #95</t>
  </si>
  <si>
    <t>TOTAL TO SUBRECIPIENTS</t>
  </si>
  <si>
    <t>There is limited segregation of duties over cash receipts and disbursements, receiving and purchasing, recording of transactions and reconciliation of bank accounts.  The Joint Agreement employs few individuals to perform all of the above mentioned functions.</t>
  </si>
  <si>
    <t>The Joint Agreement does not have adequate segregation of duties.</t>
  </si>
  <si>
    <t>Transaction and reporting errors could occur and not be detected in a timely manner.</t>
  </si>
  <si>
    <t>The cost versus the benefit of hiring additional staff is not conducive for the Joint Agreement.</t>
  </si>
  <si>
    <t xml:space="preserve">The Joint Agreement should segregate or rotate duties so that no one individual handles a transaction from its inception to its completion.  While the Joint Agreement's current staffing arrangement may not permit an adequate segregation of duties in all respects for an effective system of internal control  procedures, it is important that the personnel and management is aware of this condition.  </t>
  </si>
  <si>
    <t>The Joint Agreement is aware of this condition.  They will review their staffing arrangement, assignment of duties, and employee bonding.</t>
  </si>
  <si>
    <t>Lack of sufficient expertise for full disclosure year end financial statement preparation could result in controls not being effective in preventing or detecting material misstatments particularly in the related footnotes to the financial statements.</t>
  </si>
  <si>
    <r>
      <t xml:space="preserve">Current </t>
    </r>
    <r>
      <rPr>
        <i/>
        <sz val="9"/>
        <rFont val="Arial"/>
        <family val="2"/>
      </rPr>
      <t xml:space="preserve">Government Auditing Standards </t>
    </r>
    <r>
      <rPr>
        <sz val="9"/>
        <rFont val="Arial"/>
        <family val="2"/>
      </rPr>
      <t>require the Joint Agreement to designate a qualified management level individual to be responsible and accountable for overseeing the drafting of the Joint Agreement's financial statements and footnotes in accordance with the cash basis of accounting, which is a basis of accounting other than accounting principles generally accepted in the United States of America.</t>
    </r>
  </si>
  <si>
    <t>The Joint Agreement prepares interim financial reports using software specifically designed for school district financial reporting.  For year end reporting purposes, the Joint Agreement relies on the auditor to prepare drafts of full disclosure finanical statements (including footnotes) in a format acceptabel by ISBE.  The Joint Agreement  currently lacks sufficient expertise to prepare year end, full disclosure financial statements without significant assistance from the auditor, but does possess sufficient skills, knowledge or experience to approve the journal entries and the draft financial statments.</t>
  </si>
  <si>
    <t>Although the auditor can propose adjustment and assist in assembling or drafting the financial statements, the auditor cannot establish or maintain theJoint Agreement's internal controls, including monitoring ongoing activities, since doing so would impair the auditor's independence.</t>
  </si>
  <si>
    <t>The Joint Agreement has not retained an individual to specifically monitor standards promulgated by the American Institute of Certified Public Accountants as they relate to full disclosure financial reporting.  Preparation of full disclosure year end financial statments is not an assigned function for the Joint Agreement accounting staff.</t>
  </si>
  <si>
    <t>The Joint Agreement should review the additional costs it would incur to prepare the financial statements internally with the corresponding reduction of risk associated with material misstatment of the Joint Agreement's finanical statements.</t>
  </si>
  <si>
    <t>Management is currently confident with the abilities of the accounting staff to prepare interim financial statements.  The Joint Agreement has also accepted the additional risk associated with the auditor drafting the year end financial statements including the notes to the financial statements.  Mangament will review, approve and take responsibility fo the audit adjustments and finanical statments.</t>
  </si>
  <si>
    <t>IDEA-Data Processing Services-Purchased Services</t>
  </si>
  <si>
    <t>10-2660-300</t>
  </si>
  <si>
    <t>Brecht's Database Solutions, Inc</t>
  </si>
  <si>
    <t>IDEA-Payments for Special Ed Services-Other</t>
  </si>
  <si>
    <t>10-4120-600</t>
  </si>
  <si>
    <t>Carbondale High School #165</t>
  </si>
  <si>
    <t>Carbondale Elementary #95</t>
  </si>
  <si>
    <t>Local-Food Services-Rentals</t>
  </si>
  <si>
    <t>10-2560-300</t>
  </si>
  <si>
    <t>Choate Mental Health</t>
  </si>
  <si>
    <t>Local-Executive Administration Services-Communications</t>
  </si>
  <si>
    <t>CTS Technology Solutions</t>
  </si>
  <si>
    <t>DuQuoin District #300</t>
  </si>
  <si>
    <t>Local-Payments for Special Ed Services-Rentals</t>
  </si>
  <si>
    <t>10-4120-300</t>
  </si>
  <si>
    <t>Local-Payments to Other Districts-Transfers</t>
  </si>
  <si>
    <t>10-4000-600</t>
  </si>
  <si>
    <t>Local-Pupil Transportation Services-Transportation Svcs</t>
  </si>
  <si>
    <t>10-2550-300</t>
  </si>
  <si>
    <t>Durham School Services</t>
  </si>
  <si>
    <t>Go Solutions</t>
  </si>
  <si>
    <t>Local-Data Processing Services-Purchased Services</t>
  </si>
  <si>
    <t>IDEA-Executive Administration Services-Legal Services</t>
  </si>
  <si>
    <t>Guin Mundorf, LLC</t>
  </si>
  <si>
    <t>IDEA-Operations &amp; Maintenance-Insurance</t>
  </si>
  <si>
    <t>10-2540-300</t>
  </si>
  <si>
    <t>IL School District</t>
  </si>
  <si>
    <t>Jonesboro #43</t>
  </si>
  <si>
    <t>Liberty Mutual Insurance</t>
  </si>
  <si>
    <t>Murphysboro CUSD #186</t>
  </si>
  <si>
    <t>Local-Instruction-Other</t>
  </si>
  <si>
    <t>Unity Point #140</t>
  </si>
  <si>
    <t>IDEA-Executive Administration Services-Rentals</t>
  </si>
  <si>
    <t>Xerox</t>
  </si>
  <si>
    <t>JAMP, WCES, Kaskaskia Sp Ed, Franklin-Jefferson Sp Ed, Dist #86,300,50</t>
  </si>
  <si>
    <t>Districts #300,50,101,5,86,165,140,186,176,84,43,37,81,66,16,17,130,95,196,204</t>
  </si>
  <si>
    <t>#20 - See Findings 2018-001 - 2018-002.</t>
  </si>
  <si>
    <t xml:space="preserve">Emling &amp; Hoffman, PC </t>
  </si>
  <si>
    <t>Rounding</t>
  </si>
  <si>
    <t>IDEA - 2018</t>
  </si>
  <si>
    <t>Tri-County SpEd Joint Agreement</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</si>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</sst>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
      <sz val="9"/>
      <color theme="1"/>
      <name val="Arial"/>
      <family val="2"/>
    </font>
    <font>
      <i/>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5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49" fontId="136" fillId="0" borderId="105" xfId="4" applyNumberFormat="1" applyFont="1" applyBorder="1" applyAlignment="1" applyProtection="1">
      <alignment horizontal="center" vertical="center"/>
      <protection locked="0"/>
    </xf>
    <xf numFmtId="49" fontId="137" fillId="0" borderId="107" xfId="4" applyNumberFormat="1" applyFont="1" applyFill="1" applyBorder="1" applyAlignment="1" applyProtection="1">
      <alignment horizontal="center" vertical="center"/>
      <protection locked="0"/>
    </xf>
    <xf numFmtId="0" fontId="138" fillId="0" borderId="105" xfId="4" applyFont="1" applyBorder="1" applyProtection="1">
      <protection locked="0"/>
    </xf>
    <xf numFmtId="0" fontId="139" fillId="0" borderId="105" xfId="4" applyFont="1" applyBorder="1" applyProtection="1">
      <protection locked="0"/>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3" fontId="10" fillId="0" borderId="22" xfId="0" applyNumberFormat="1" applyFont="1" applyBorder="1" applyAlignment="1" applyProtection="1">
      <alignment horizontal="left" vertical="center" wrapText="1"/>
      <protection locked="0"/>
    </xf>
    <xf numFmtId="3" fontId="9" fillId="0" borderId="22" xfId="0" applyNumberFormat="1" applyFont="1" applyBorder="1" applyAlignment="1" applyProtection="1">
      <alignment horizontal="left" vertical="center" wrapText="1"/>
      <protection locked="0"/>
    </xf>
    <xf numFmtId="169" fontId="9" fillId="0" borderId="22" xfId="3" applyNumberFormat="1" applyFont="1" applyBorder="1" applyAlignment="1" applyProtection="1">
      <alignment horizontal="center"/>
      <protection locked="0"/>
    </xf>
    <xf numFmtId="169" fontId="9" fillId="0" borderId="22" xfId="0" applyNumberFormat="1" applyFont="1" applyBorder="1" applyAlignment="1" applyProtection="1">
      <alignment horizontal="center"/>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 fontId="9" fillId="0" borderId="22" xfId="0"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3" fontId="9" fillId="0" borderId="45" xfId="3" applyNumberFormat="1" applyFont="1" applyBorder="1" applyAlignment="1" applyProtection="1">
      <alignment horizontal="center"/>
      <protection locked="0"/>
    </xf>
    <xf numFmtId="3" fontId="9" fillId="0" borderId="45" xfId="0" applyNumberFormat="1" applyFont="1" applyBorder="1" applyAlignment="1" applyProtection="1">
      <alignment horizontal="left" vertical="center" wrapText="1"/>
      <protection locked="0"/>
    </xf>
    <xf numFmtId="169" fontId="9" fillId="0" borderId="166" xfId="0" applyNumberFormat="1" applyFont="1" applyBorder="1" applyAlignment="1" applyProtection="1">
      <alignment horizontal="center"/>
      <protection locked="0"/>
    </xf>
    <xf numFmtId="1" fontId="9" fillId="0" borderId="166" xfId="0"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62" fillId="0" borderId="167"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1" fillId="0" borderId="22" xfId="0" applyNumberFormat="1" applyFont="1" applyBorder="1" applyAlignment="1" applyProtection="1">
      <alignment horizontal="left" vertical="center" wrapText="1"/>
      <protection locked="0"/>
    </xf>
    <xf numFmtId="169" fontId="9" fillId="0" borderId="77" xfId="3" applyNumberFormat="1" applyFont="1" applyBorder="1" applyAlignment="1" applyProtection="1">
      <alignment horizontal="center"/>
      <protection locked="0"/>
    </xf>
    <xf numFmtId="0" fontId="14" fillId="0" borderId="148" xfId="3" applyFont="1" applyBorder="1" applyProtection="1">
      <protection locked="0"/>
    </xf>
    <xf numFmtId="0" fontId="14" fillId="0" borderId="147" xfId="3" applyFont="1" applyBorder="1" applyAlignment="1" applyProtection="1">
      <alignment horizontal="center"/>
      <protection locked="0"/>
    </xf>
    <xf numFmtId="0" fontId="14" fillId="0" borderId="148" xfId="0" applyFont="1" applyBorder="1" applyProtection="1">
      <protection locked="0"/>
    </xf>
    <xf numFmtId="0" fontId="18" fillId="0" borderId="148" xfId="3" applyFont="1" applyBorder="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protection locked="0"/>
    </xf>
    <xf numFmtId="0" fontId="42" fillId="0" borderId="129" xfId="2" applyNumberFormat="1" applyFont="1" applyBorder="1" applyAlignment="1" applyProtection="1">
      <alignment horizontal="left" vertical="center"/>
      <protection locked="0"/>
    </xf>
    <xf numFmtId="0" fontId="42" fillId="0" borderId="129" xfId="2" applyFont="1" applyBorder="1" applyAlignment="1" applyProtection="1">
      <alignment horizontal="left" vertical="center"/>
      <protection locked="0"/>
    </xf>
    <xf numFmtId="0" fontId="42" fillId="0" borderId="127"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150" xfId="3" applyNumberFormat="1" applyFont="1" applyBorder="1" applyAlignment="1" applyProtection="1">
      <alignment horizontal="right" indent="1"/>
      <protection locked="0"/>
    </xf>
    <xf numFmtId="3" fontId="53" fillId="0" borderId="76" xfId="3" applyNumberFormat="1" applyFont="1" applyBorder="1" applyAlignment="1" applyProtection="1">
      <alignment horizontal="right" indent="1"/>
      <protection locked="0"/>
    </xf>
    <xf numFmtId="3" fontId="53" fillId="0" borderId="151" xfId="3" applyNumberFormat="1" applyFont="1" applyBorder="1" applyAlignment="1" applyProtection="1">
      <alignment horizontal="right" indent="1"/>
      <protection locked="0"/>
    </xf>
    <xf numFmtId="3" fontId="14" fillId="0" borderId="150" xfId="3" applyNumberFormat="1" applyFont="1" applyBorder="1" applyAlignment="1" applyProtection="1">
      <alignment horizontal="right" indent="1"/>
      <protection locked="0"/>
    </xf>
    <xf numFmtId="3" fontId="14" fillId="0" borderId="76" xfId="3" applyNumberFormat="1" applyFont="1" applyBorder="1" applyAlignment="1" applyProtection="1">
      <alignment horizontal="right" indent="1"/>
      <protection locked="0"/>
    </xf>
    <xf numFmtId="3" fontId="14" fillId="0" borderId="151" xfId="3" applyNumberFormat="1" applyFont="1" applyBorder="1" applyAlignment="1" applyProtection="1">
      <alignment horizontal="right" indent="1"/>
      <protection locked="0"/>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0" fontId="9" fillId="0" borderId="150" xfId="3" applyFont="1" applyBorder="1" applyAlignment="1" applyProtection="1">
      <alignment horizontal="left" vertical="center"/>
      <protection locked="0"/>
    </xf>
    <xf numFmtId="0" fontId="9" fillId="0" borderId="76" xfId="3" applyFont="1" applyBorder="1" applyAlignment="1" applyProtection="1">
      <alignment horizontal="left" vertical="center"/>
      <protection locked="0"/>
    </xf>
    <xf numFmtId="0" fontId="9" fillId="0" borderId="151" xfId="3" applyFont="1" applyBorder="1" applyAlignment="1" applyProtection="1">
      <alignment horizontal="left" vertical="center"/>
      <protection locked="0"/>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14" fillId="0" borderId="0" xfId="3" applyFont="1" applyBorder="1" applyAlignment="1" applyProtection="1">
      <alignment horizontal="left" vertical="top" wrapText="1"/>
      <protection locked="0"/>
    </xf>
    <xf numFmtId="0" fontId="14" fillId="0" borderId="0" xfId="3" applyFont="1" applyAlignment="1" applyProtection="1">
      <alignment horizontal="left" vertical="top" wrapText="1"/>
      <protection locked="0"/>
    </xf>
    <xf numFmtId="0" fontId="9" fillId="0" borderId="0" xfId="3" applyFon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xdr:row>
          <xdr:rowOff>114300</xdr:rowOff>
        </xdr:from>
        <xdr:to>
          <xdr:col>1</xdr:col>
          <xdr:colOff>933450</xdr:colOff>
          <xdr:row>14</xdr:row>
          <xdr:rowOff>152400</xdr:rowOff>
        </xdr:to>
        <xdr:sp macro="" textlink="">
          <xdr:nvSpPr>
            <xdr:cNvPr id="29703" name="Object 7" hidden="1">
              <a:extLst>
                <a:ext uri="{63B3BB69-23CF-44E3-9099-C40C66FF867C}">
                  <a14:compatExt spid="_x0000_s297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8" t="s">
        <v>425</v>
      </c>
      <c r="J1" s="2059"/>
      <c r="K1" s="2059"/>
      <c r="L1" s="2059"/>
      <c r="M1" s="2059"/>
      <c r="N1" s="2059"/>
      <c r="O1" s="2059"/>
      <c r="P1" s="2059"/>
      <c r="Q1" s="2059"/>
      <c r="R1" s="2059"/>
      <c r="S1" s="2059"/>
    </row>
    <row r="2" spans="1:28" ht="12" customHeight="1" x14ac:dyDescent="0.2">
      <c r="A2" s="47" t="s">
        <v>1684</v>
      </c>
      <c r="D2" s="48"/>
      <c r="I2" s="2060" t="s">
        <v>1036</v>
      </c>
      <c r="J2" s="2059"/>
      <c r="K2" s="2059"/>
      <c r="L2" s="2059"/>
      <c r="M2" s="2059"/>
      <c r="N2" s="2059"/>
      <c r="O2" s="2059"/>
      <c r="P2" s="2059"/>
      <c r="Q2" s="2059"/>
      <c r="R2" s="2059"/>
      <c r="S2" s="2059"/>
    </row>
    <row r="3" spans="1:28" ht="12" customHeight="1" x14ac:dyDescent="0.2">
      <c r="A3" s="155" t="s">
        <v>1685</v>
      </c>
      <c r="B3" s="156"/>
      <c r="C3" s="156"/>
      <c r="D3" s="157"/>
      <c r="I3" s="2060" t="s">
        <v>54</v>
      </c>
      <c r="J3" s="2059"/>
      <c r="K3" s="2059"/>
      <c r="L3" s="2059"/>
      <c r="M3" s="2059"/>
      <c r="N3" s="2059"/>
      <c r="O3" s="2059"/>
      <c r="P3" s="2059"/>
      <c r="Q3" s="2059"/>
      <c r="R3" s="2059"/>
      <c r="S3" s="2059"/>
    </row>
    <row r="4" spans="1:28" ht="12" customHeight="1" x14ac:dyDescent="0.2">
      <c r="A4" s="37"/>
      <c r="I4" s="2060" t="s">
        <v>545</v>
      </c>
      <c r="J4" s="2059"/>
      <c r="K4" s="2059"/>
      <c r="L4" s="2059"/>
      <c r="M4" s="2059"/>
      <c r="N4" s="2059"/>
      <c r="O4" s="2059"/>
      <c r="P4" s="2059"/>
      <c r="Q4" s="2059"/>
      <c r="R4" s="2059"/>
      <c r="S4" s="2059"/>
    </row>
    <row r="5" spans="1:28" ht="14.1" customHeight="1" x14ac:dyDescent="0.2">
      <c r="B5" s="104"/>
      <c r="C5" s="26" t="s">
        <v>966</v>
      </c>
      <c r="D5" s="84"/>
      <c r="E5" s="84"/>
      <c r="H5" s="38"/>
      <c r="I5" s="2067" t="s">
        <v>701</v>
      </c>
      <c r="J5" s="2011"/>
      <c r="K5" s="2011"/>
      <c r="L5" s="2011"/>
      <c r="M5" s="2011"/>
      <c r="N5" s="2011"/>
      <c r="O5" s="2011"/>
      <c r="P5" s="2011"/>
      <c r="Q5" s="2011"/>
      <c r="R5" s="2011"/>
      <c r="S5" s="2011"/>
    </row>
    <row r="6" spans="1:28" ht="14.1" customHeight="1" x14ac:dyDescent="0.2">
      <c r="B6" s="104" t="s">
        <v>2073</v>
      </c>
      <c r="C6" s="26" t="s">
        <v>967</v>
      </c>
      <c r="D6" s="84"/>
      <c r="E6" s="84"/>
      <c r="I6" s="2066" t="s">
        <v>938</v>
      </c>
      <c r="J6" s="2011"/>
      <c r="K6" s="2011"/>
      <c r="L6" s="2011"/>
      <c r="M6" s="2011"/>
      <c r="N6" s="2011"/>
      <c r="O6" s="2011"/>
      <c r="P6" s="2011"/>
      <c r="Q6" s="2011"/>
      <c r="R6" s="2011"/>
      <c r="S6" s="2011"/>
    </row>
    <row r="7" spans="1:28" ht="12.2" customHeight="1" x14ac:dyDescent="0.2">
      <c r="I7" s="2061">
        <v>43281</v>
      </c>
      <c r="J7" s="2062"/>
      <c r="K7" s="2062"/>
      <c r="L7" s="2062"/>
      <c r="M7" s="2062"/>
      <c r="N7" s="2062"/>
      <c r="O7" s="2062"/>
      <c r="P7" s="2062"/>
      <c r="Q7" s="2062"/>
      <c r="R7" s="2062"/>
      <c r="S7" s="206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3" t="s">
        <v>695</v>
      </c>
      <c r="J9" s="2064"/>
      <c r="K9" s="2064"/>
      <c r="L9" s="2064"/>
      <c r="M9" s="2064"/>
      <c r="N9" s="2064"/>
      <c r="O9" s="2064"/>
      <c r="P9" s="2064"/>
      <c r="Q9" s="2064"/>
      <c r="R9" s="2064"/>
      <c r="S9" s="2065"/>
      <c r="T9" s="2007" t="s">
        <v>554</v>
      </c>
      <c r="U9" s="2008"/>
      <c r="V9" s="2008"/>
      <c r="W9" s="2008"/>
      <c r="X9" s="2008"/>
      <c r="Y9" s="2008"/>
      <c r="Z9" s="2008"/>
      <c r="AA9" s="2009"/>
    </row>
    <row r="10" spans="1:28" ht="13.5" customHeight="1" x14ac:dyDescent="0.2">
      <c r="A10" s="2016" t="s">
        <v>696</v>
      </c>
      <c r="B10" s="2017"/>
      <c r="C10" s="2017"/>
      <c r="D10" s="2017"/>
      <c r="E10" s="2017"/>
      <c r="F10" s="2017"/>
      <c r="G10" s="2017"/>
      <c r="H10" s="2018"/>
      <c r="I10" s="29"/>
      <c r="J10" s="30"/>
      <c r="K10" s="28"/>
      <c r="R10" s="30"/>
      <c r="S10" s="30"/>
      <c r="T10" s="2010"/>
      <c r="U10" s="2011"/>
      <c r="V10" s="2011"/>
      <c r="W10" s="2011"/>
      <c r="X10" s="2011"/>
      <c r="Y10" s="2011"/>
      <c r="Z10" s="2011"/>
      <c r="AA10" s="2012"/>
    </row>
    <row r="11" spans="1:28" ht="14.25" customHeight="1" x14ac:dyDescent="0.2">
      <c r="A11" s="2019" t="s">
        <v>1012</v>
      </c>
      <c r="B11" s="2020"/>
      <c r="C11" s="2020"/>
      <c r="D11" s="2020"/>
      <c r="E11" s="2020"/>
      <c r="F11" s="2020"/>
      <c r="G11" s="2020"/>
      <c r="H11" s="2021"/>
      <c r="I11" s="27"/>
      <c r="J11" s="74"/>
      <c r="K11" s="27"/>
      <c r="O11" s="148" t="s">
        <v>2073</v>
      </c>
      <c r="P11" s="100" t="s">
        <v>210</v>
      </c>
      <c r="Q11" s="30"/>
      <c r="R11" s="28"/>
      <c r="S11" s="27"/>
      <c r="T11" s="2013"/>
      <c r="U11" s="2014"/>
      <c r="V11" s="2014"/>
      <c r="W11" s="2014"/>
      <c r="X11" s="2014"/>
      <c r="Y11" s="2014"/>
      <c r="Z11" s="2014"/>
      <c r="AA11" s="201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8">
        <v>30039186061</v>
      </c>
      <c r="B13" s="2029"/>
      <c r="C13" s="2029"/>
      <c r="D13" s="2029"/>
      <c r="E13" s="2029"/>
      <c r="F13" s="2029"/>
      <c r="G13" s="2029"/>
      <c r="H13" s="2030"/>
      <c r="I13" s="31"/>
      <c r="J13" s="30"/>
      <c r="K13" s="28"/>
      <c r="L13" s="30"/>
      <c r="M13" s="30"/>
      <c r="N13" s="30"/>
      <c r="O13" s="30"/>
      <c r="P13" s="30"/>
      <c r="Q13" s="30"/>
      <c r="R13" s="30"/>
      <c r="S13" s="30"/>
      <c r="T13" s="2032" t="s">
        <v>2080</v>
      </c>
      <c r="U13" s="2033"/>
      <c r="V13" s="2033"/>
      <c r="W13" s="2033"/>
      <c r="X13" s="2033"/>
      <c r="Y13" s="2034"/>
      <c r="Z13" s="2034"/>
      <c r="AA13" s="203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5" t="s">
        <v>2074</v>
      </c>
      <c r="B15" s="2002"/>
      <c r="C15" s="2002"/>
      <c r="D15" s="2002"/>
      <c r="E15" s="2002"/>
      <c r="F15" s="2002"/>
      <c r="G15" s="2002"/>
      <c r="H15" s="2003"/>
      <c r="T15" s="2036" t="s">
        <v>2081</v>
      </c>
      <c r="U15" s="2037"/>
      <c r="V15" s="2037"/>
      <c r="W15" s="2037"/>
      <c r="X15" s="2037"/>
      <c r="Y15" s="2038"/>
      <c r="Z15" s="2038"/>
      <c r="AA15" s="203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8" t="s">
        <v>2228</v>
      </c>
      <c r="B17" s="2056"/>
      <c r="C17" s="2056"/>
      <c r="D17" s="2056"/>
      <c r="E17" s="2056"/>
      <c r="F17" s="2056"/>
      <c r="G17" s="2056"/>
      <c r="H17" s="2057"/>
      <c r="T17" s="2043" t="s">
        <v>2082</v>
      </c>
      <c r="U17" s="2044"/>
      <c r="V17" s="2044"/>
      <c r="W17" s="2044"/>
      <c r="X17" s="2044"/>
      <c r="Y17" s="2044"/>
      <c r="Z17" s="2044"/>
      <c r="AA17" s="2045"/>
    </row>
    <row r="18" spans="1:27" ht="13.5" customHeight="1" x14ac:dyDescent="0.2">
      <c r="A18" s="85" t="s">
        <v>551</v>
      </c>
      <c r="B18" s="76"/>
      <c r="C18" s="72"/>
      <c r="D18" s="76"/>
      <c r="E18" s="76"/>
      <c r="F18" s="76"/>
      <c r="G18" s="76"/>
      <c r="H18" s="56"/>
      <c r="I18" s="2053" t="s">
        <v>697</v>
      </c>
      <c r="J18" s="2054"/>
      <c r="K18" s="2054"/>
      <c r="L18" s="2054"/>
      <c r="M18" s="2054"/>
      <c r="N18" s="2054"/>
      <c r="O18" s="2054"/>
      <c r="P18" s="2054"/>
      <c r="Q18" s="2054"/>
      <c r="R18" s="2054"/>
      <c r="S18" s="2055"/>
      <c r="T18" s="85" t="s">
        <v>735</v>
      </c>
      <c r="U18" s="51"/>
      <c r="V18" s="72"/>
      <c r="W18" s="50"/>
      <c r="X18" s="85" t="s">
        <v>284</v>
      </c>
      <c r="Y18" s="81"/>
      <c r="Z18" s="159" t="s">
        <v>698</v>
      </c>
      <c r="AA18" s="46"/>
    </row>
    <row r="19" spans="1:27" ht="13.5" customHeight="1" x14ac:dyDescent="0.2">
      <c r="A19" s="2025" t="s">
        <v>2075</v>
      </c>
      <c r="B19" s="2026"/>
      <c r="C19" s="2026"/>
      <c r="D19" s="2026"/>
      <c r="E19" s="2026"/>
      <c r="F19" s="2026"/>
      <c r="G19" s="2026"/>
      <c r="H19" s="2027"/>
      <c r="I19" s="30"/>
      <c r="J19" s="99"/>
      <c r="K19" s="40"/>
      <c r="L19" s="38"/>
      <c r="M19" s="112" t="s">
        <v>333</v>
      </c>
      <c r="P19" s="27"/>
      <c r="Q19" s="27"/>
      <c r="R19" s="27"/>
      <c r="S19" s="31"/>
      <c r="T19" s="2031" t="s">
        <v>2083</v>
      </c>
      <c r="U19" s="2023"/>
      <c r="V19" s="2023"/>
      <c r="W19" s="2024"/>
      <c r="X19" s="2041" t="s">
        <v>2084</v>
      </c>
      <c r="Y19" s="2042"/>
      <c r="Z19" s="2040">
        <v>62263</v>
      </c>
      <c r="AA19" s="202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2" t="s">
        <v>2076</v>
      </c>
      <c r="B21" s="2023"/>
      <c r="C21" s="2023"/>
      <c r="D21" s="2023"/>
      <c r="E21" s="2023"/>
      <c r="F21" s="2023"/>
      <c r="G21" s="2023"/>
      <c r="H21" s="2024"/>
      <c r="I21" s="2049" t="s">
        <v>699</v>
      </c>
      <c r="J21" s="2011"/>
      <c r="K21" s="2011"/>
      <c r="L21" s="2011"/>
      <c r="M21" s="2011"/>
      <c r="N21" s="2011"/>
      <c r="O21" s="2011"/>
      <c r="P21" s="2011"/>
      <c r="Q21" s="2011"/>
      <c r="R21" s="2011"/>
      <c r="S21" s="2012"/>
      <c r="T21" s="1993" t="s">
        <v>2085</v>
      </c>
      <c r="U21" s="1994"/>
      <c r="V21" s="1994"/>
      <c r="W21" s="1994"/>
      <c r="X21" s="2004" t="s">
        <v>2086</v>
      </c>
      <c r="Y21" s="2005"/>
      <c r="Z21" s="2005"/>
      <c r="AA21" s="2006"/>
    </row>
    <row r="22" spans="1:27" ht="13.5" customHeight="1" x14ac:dyDescent="0.2">
      <c r="A22" s="87" t="s">
        <v>552</v>
      </c>
      <c r="B22" s="59"/>
      <c r="C22" s="59"/>
      <c r="D22" s="59"/>
      <c r="E22" s="59"/>
      <c r="F22" s="59"/>
      <c r="G22" s="59"/>
      <c r="H22" s="60"/>
      <c r="I22" s="2050" t="s">
        <v>1504</v>
      </c>
      <c r="J22" s="2051"/>
      <c r="K22" s="2051"/>
      <c r="L22" s="2051"/>
      <c r="M22" s="2051"/>
      <c r="N22" s="2051"/>
      <c r="O22" s="2051"/>
      <c r="P22" s="2051"/>
      <c r="Q22" s="2051"/>
      <c r="R22" s="2051"/>
      <c r="S22" s="2052"/>
      <c r="T22" s="85" t="s">
        <v>1596</v>
      </c>
      <c r="U22" s="51"/>
      <c r="V22" s="72"/>
      <c r="W22" s="51"/>
      <c r="X22" s="160" t="s">
        <v>1385</v>
      </c>
      <c r="Z22" s="45"/>
      <c r="AA22" s="46"/>
    </row>
    <row r="23" spans="1:27" ht="13.5" customHeight="1" x14ac:dyDescent="0.2">
      <c r="A23" s="2046"/>
      <c r="B23" s="2047"/>
      <c r="C23" s="2047"/>
      <c r="D23" s="2047"/>
      <c r="E23" s="2047"/>
      <c r="F23" s="2047"/>
      <c r="G23" s="2047"/>
      <c r="H23" s="2048"/>
      <c r="T23" s="1988" t="s">
        <v>2087</v>
      </c>
      <c r="U23" s="1989"/>
      <c r="V23" s="1989"/>
      <c r="W23" s="1989"/>
      <c r="X23" s="2001">
        <v>43466</v>
      </c>
      <c r="Y23" s="2002"/>
      <c r="Z23" s="2002"/>
      <c r="AA23" s="2003"/>
    </row>
    <row r="24" spans="1:27" ht="14.1" customHeight="1" x14ac:dyDescent="0.2">
      <c r="A24" s="88" t="s">
        <v>698</v>
      </c>
      <c r="B24" s="49"/>
      <c r="C24" s="49"/>
      <c r="D24" s="49"/>
      <c r="E24" s="49"/>
      <c r="F24" s="49"/>
      <c r="G24" s="49"/>
      <c r="H24" s="61"/>
      <c r="J24" s="2096" t="str">
        <f>IF(B5="x",IF(AUDITCHECK!D29="AFR form Incomplete.","",IF(AUDITCHECK!D29="Deficit reduction plan is required.","School District must complete a deficit reduction plan in the 2018-2019 Budget",)),"")</f>
        <v/>
      </c>
      <c r="K24" s="2096"/>
      <c r="L24" s="2096"/>
      <c r="M24" s="2096"/>
      <c r="N24" s="2096"/>
      <c r="O24" s="2096"/>
      <c r="P24" s="2096"/>
      <c r="Q24" s="2096"/>
      <c r="R24" s="2096"/>
      <c r="S24" s="2097"/>
      <c r="T24" s="105" t="s">
        <v>552</v>
      </c>
      <c r="U24" s="106"/>
      <c r="V24" s="106"/>
      <c r="W24" s="106"/>
      <c r="X24" s="107"/>
      <c r="Y24" s="107"/>
      <c r="Z24" s="107"/>
      <c r="AA24" s="108"/>
    </row>
    <row r="25" spans="1:27" ht="14.1" customHeight="1" x14ac:dyDescent="0.2">
      <c r="A25" s="2084">
        <v>62966</v>
      </c>
      <c r="B25" s="2042"/>
      <c r="C25" s="2042"/>
      <c r="D25" s="2042"/>
      <c r="E25" s="2042"/>
      <c r="F25" s="2042"/>
      <c r="G25" s="2042"/>
      <c r="H25" s="2027"/>
      <c r="I25" s="113"/>
      <c r="J25" s="2098"/>
      <c r="K25" s="2098"/>
      <c r="L25" s="2098"/>
      <c r="M25" s="2098"/>
      <c r="N25" s="2098"/>
      <c r="O25" s="2098"/>
      <c r="P25" s="2098"/>
      <c r="Q25" s="2098"/>
      <c r="R25" s="2098"/>
      <c r="S25" s="2099"/>
      <c r="T25" s="1985" t="s">
        <v>2088</v>
      </c>
      <c r="U25" s="1986"/>
      <c r="V25" s="1986"/>
      <c r="W25" s="1986"/>
      <c r="X25" s="1986"/>
      <c r="Y25" s="1986"/>
      <c r="Z25" s="1986"/>
      <c r="AA25" s="198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8" t="s">
        <v>1591</v>
      </c>
      <c r="J27" s="2054"/>
      <c r="K27" s="2054"/>
      <c r="L27" s="2054"/>
      <c r="M27" s="2054"/>
      <c r="N27" s="2054"/>
      <c r="O27" s="2054"/>
      <c r="P27" s="2054"/>
      <c r="Q27" s="2054"/>
      <c r="R27" s="2054"/>
      <c r="S27" s="205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5"/>
      <c r="Q35" s="2023"/>
      <c r="R35" s="202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8" t="s">
        <v>2077</v>
      </c>
      <c r="B38" s="2056"/>
      <c r="C38" s="2056"/>
      <c r="D38" s="2056"/>
      <c r="E38" s="2056"/>
      <c r="F38" s="2023"/>
      <c r="G38" s="2023"/>
      <c r="H38" s="2024"/>
      <c r="I38" s="2072"/>
      <c r="J38" s="2037"/>
      <c r="K38" s="2037"/>
      <c r="L38" s="2037"/>
      <c r="M38" s="2037"/>
      <c r="N38" s="2037"/>
      <c r="O38" s="2037"/>
      <c r="P38" s="2073"/>
      <c r="Q38" s="2073"/>
      <c r="R38" s="2073"/>
      <c r="S38" s="2074"/>
      <c r="T38" s="1995" t="s">
        <v>2089</v>
      </c>
      <c r="U38" s="1996"/>
      <c r="V38" s="1996"/>
      <c r="W38" s="1996"/>
      <c r="X38" s="1991"/>
      <c r="Y38" s="1991"/>
      <c r="Z38" s="1991"/>
      <c r="AA38" s="1992"/>
    </row>
    <row r="39" spans="1:27" ht="12" customHeight="1" x14ac:dyDescent="0.2">
      <c r="A39" s="2086" t="s">
        <v>552</v>
      </c>
      <c r="B39" s="2087"/>
      <c r="C39" s="72"/>
      <c r="D39" s="69"/>
      <c r="E39" s="69"/>
      <c r="F39" s="79"/>
      <c r="G39" s="69"/>
      <c r="H39" s="56"/>
      <c r="I39" s="2086" t="s">
        <v>552</v>
      </c>
      <c r="J39" s="2087"/>
      <c r="K39" s="2087"/>
      <c r="L39" s="2087"/>
      <c r="M39" s="2087"/>
      <c r="N39" s="67"/>
      <c r="O39" s="72"/>
      <c r="P39" s="72"/>
      <c r="Q39" s="78"/>
      <c r="R39" s="72"/>
      <c r="S39" s="56"/>
      <c r="T39" s="72" t="s">
        <v>552</v>
      </c>
      <c r="U39" s="51"/>
      <c r="V39" s="72"/>
      <c r="W39" s="50"/>
      <c r="X39" s="78"/>
      <c r="Y39" s="45"/>
      <c r="Z39" s="45"/>
      <c r="AA39" s="46"/>
    </row>
    <row r="40" spans="1:27" ht="13.5" customHeight="1" x14ac:dyDescent="0.2">
      <c r="A40" s="2089"/>
      <c r="B40" s="2090"/>
      <c r="C40" s="2091"/>
      <c r="D40" s="2091"/>
      <c r="E40" s="2091"/>
      <c r="F40" s="2092"/>
      <c r="G40" s="2092"/>
      <c r="H40" s="2093"/>
      <c r="I40" s="2081"/>
      <c r="J40" s="2082"/>
      <c r="K40" s="2082"/>
      <c r="L40" s="2082"/>
      <c r="M40" s="2082"/>
      <c r="N40" s="2082"/>
      <c r="O40" s="2082"/>
      <c r="P40" s="2082"/>
      <c r="Q40" s="2082"/>
      <c r="R40" s="2082"/>
      <c r="S40" s="2083"/>
      <c r="T40" s="1997" t="s">
        <v>2090</v>
      </c>
      <c r="U40" s="1998"/>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5" t="s">
        <v>2078</v>
      </c>
      <c r="B42" s="2042"/>
      <c r="C42" s="2027"/>
      <c r="D42" s="2094" t="s">
        <v>2079</v>
      </c>
      <c r="E42" s="2042"/>
      <c r="F42" s="2042"/>
      <c r="G42" s="2042"/>
      <c r="H42" s="2027"/>
      <c r="I42" s="2085"/>
      <c r="J42" s="2079"/>
      <c r="K42" s="2079"/>
      <c r="L42" s="2079"/>
      <c r="M42" s="2079"/>
      <c r="N42" s="2079"/>
      <c r="O42" s="2080"/>
      <c r="P42" s="2078"/>
      <c r="Q42" s="2079"/>
      <c r="R42" s="2079"/>
      <c r="S42" s="2080"/>
      <c r="T42" s="1995" t="s">
        <v>2091</v>
      </c>
      <c r="U42" s="1991"/>
      <c r="V42" s="1991"/>
      <c r="W42" s="1992"/>
      <c r="X42" s="1990" t="s">
        <v>2092</v>
      </c>
      <c r="Y42" s="1991"/>
      <c r="Z42" s="1991"/>
      <c r="AA42" s="199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5"/>
      <c r="B44" s="2076"/>
      <c r="C44" s="2076"/>
      <c r="D44" s="2076"/>
      <c r="E44" s="2076"/>
      <c r="F44" s="2076"/>
      <c r="G44" s="2076"/>
      <c r="H44" s="2077"/>
      <c r="I44" s="2068"/>
      <c r="J44" s="2070"/>
      <c r="K44" s="2070"/>
      <c r="L44" s="2070"/>
      <c r="M44" s="2070"/>
      <c r="N44" s="2070"/>
      <c r="O44" s="2070"/>
      <c r="P44" s="2070"/>
      <c r="Q44" s="2070"/>
      <c r="R44" s="2070"/>
      <c r="S44" s="2071"/>
      <c r="T44" s="2068"/>
      <c r="U44" s="2069"/>
      <c r="V44" s="2069"/>
      <c r="W44" s="2069"/>
      <c r="X44" s="2069"/>
      <c r="Y44" s="2069"/>
      <c r="Z44" s="2070"/>
      <c r="AA44" s="20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37" sqref="H3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33" t="s">
        <v>1901</v>
      </c>
      <c r="B2" s="1549" t="s">
        <v>2031</v>
      </c>
      <c r="C2" s="715" t="s">
        <v>1906</v>
      </c>
      <c r="D2" s="715" t="s">
        <v>1907</v>
      </c>
      <c r="E2" s="715" t="s">
        <v>1908</v>
      </c>
      <c r="F2" s="715" t="s">
        <v>1909</v>
      </c>
    </row>
    <row r="3" spans="1:6" ht="12" customHeight="1" x14ac:dyDescent="0.2">
      <c r="A3" s="2234"/>
      <c r="B3" s="1546"/>
      <c r="C3" s="1547"/>
      <c r="D3" s="1548" t="s">
        <v>274</v>
      </c>
      <c r="E3" s="1547"/>
      <c r="F3" s="1548" t="s">
        <v>275</v>
      </c>
    </row>
    <row r="4" spans="1:6" ht="13.7" customHeight="1" x14ac:dyDescent="0.2">
      <c r="A4" s="716" t="s">
        <v>1217</v>
      </c>
      <c r="B4" s="1764">
        <f>'Revenues 9-14'!C5</f>
        <v>0</v>
      </c>
      <c r="C4" s="1545"/>
      <c r="D4" s="1767">
        <f>B4-C4</f>
        <v>0</v>
      </c>
      <c r="E4" s="1545"/>
      <c r="F4" s="1767">
        <f>E4-C4</f>
        <v>0</v>
      </c>
    </row>
    <row r="5" spans="1:6" ht="13.7" customHeight="1" x14ac:dyDescent="0.2">
      <c r="A5" s="716" t="s">
        <v>925</v>
      </c>
      <c r="B5" s="1765">
        <f>'Revenues 9-14'!D5</f>
        <v>0</v>
      </c>
      <c r="C5" s="585"/>
      <c r="D5" s="1768">
        <f t="shared" ref="D5:D18" si="0">B5-C5</f>
        <v>0</v>
      </c>
      <c r="E5" s="585"/>
      <c r="F5" s="1768">
        <f>E5-C5</f>
        <v>0</v>
      </c>
    </row>
    <row r="6" spans="1:6" ht="13.7" customHeight="1" x14ac:dyDescent="0.2">
      <c r="A6" s="716" t="s">
        <v>431</v>
      </c>
      <c r="B6" s="1765">
        <f>'Revenues 9-14'!E5</f>
        <v>0</v>
      </c>
      <c r="C6" s="585"/>
      <c r="D6" s="1768">
        <f t="shared" si="0"/>
        <v>0</v>
      </c>
      <c r="E6" s="585"/>
      <c r="F6" s="1768">
        <f t="shared" ref="F6:F18" si="1">E6-C6</f>
        <v>0</v>
      </c>
    </row>
    <row r="7" spans="1:6" ht="13.7" customHeight="1" x14ac:dyDescent="0.2">
      <c r="A7" s="716" t="s">
        <v>157</v>
      </c>
      <c r="B7" s="1765">
        <f>'Revenues 9-14'!F5</f>
        <v>0</v>
      </c>
      <c r="C7" s="585"/>
      <c r="D7" s="1768">
        <f t="shared" si="0"/>
        <v>0</v>
      </c>
      <c r="E7" s="585"/>
      <c r="F7" s="1768">
        <f t="shared" si="1"/>
        <v>0</v>
      </c>
    </row>
    <row r="8" spans="1:6" ht="13.7" customHeight="1" x14ac:dyDescent="0.2">
      <c r="A8" s="716" t="s">
        <v>1241</v>
      </c>
      <c r="B8" s="1765">
        <f>'Revenues 9-14'!G5</f>
        <v>0</v>
      </c>
      <c r="C8" s="585"/>
      <c r="D8" s="1768">
        <f t="shared" si="0"/>
        <v>0</v>
      </c>
      <c r="E8" s="585"/>
      <c r="F8" s="1768">
        <f t="shared" si="1"/>
        <v>0</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0</v>
      </c>
      <c r="C10" s="585"/>
      <c r="D10" s="1768">
        <f t="shared" si="0"/>
        <v>0</v>
      </c>
      <c r="E10" s="585"/>
      <c r="F10" s="1768">
        <f t="shared" si="1"/>
        <v>0</v>
      </c>
    </row>
    <row r="11" spans="1:6" x14ac:dyDescent="0.2">
      <c r="A11" s="716" t="s">
        <v>429</v>
      </c>
      <c r="B11" s="1765">
        <f>'Revenues 9-14'!J5</f>
        <v>0</v>
      </c>
      <c r="C11" s="585"/>
      <c r="D11" s="1768">
        <f t="shared" si="0"/>
        <v>0</v>
      </c>
      <c r="E11" s="585"/>
      <c r="F11" s="1768">
        <f t="shared" si="1"/>
        <v>0</v>
      </c>
    </row>
    <row r="12" spans="1:6" ht="13.7" customHeight="1" x14ac:dyDescent="0.2">
      <c r="A12" s="716" t="s">
        <v>159</v>
      </c>
      <c r="B12" s="1765">
        <f>'Revenues 9-14'!K5</f>
        <v>0</v>
      </c>
      <c r="C12" s="585"/>
      <c r="D12" s="1768">
        <f t="shared" si="0"/>
        <v>0</v>
      </c>
      <c r="E12" s="585"/>
      <c r="F12" s="1768">
        <f t="shared" si="1"/>
        <v>0</v>
      </c>
    </row>
    <row r="13" spans="1:6" ht="13.7" customHeight="1" x14ac:dyDescent="0.2">
      <c r="A13" s="716" t="s">
        <v>993</v>
      </c>
      <c r="B13" s="1765">
        <f>SUM('Revenues 9-14'!C6:D6)</f>
        <v>0</v>
      </c>
      <c r="C13" s="585"/>
      <c r="D13" s="1768">
        <f t="shared" si="0"/>
        <v>0</v>
      </c>
      <c r="E13" s="585"/>
      <c r="F13" s="1768">
        <f t="shared" si="1"/>
        <v>0</v>
      </c>
    </row>
    <row r="14" spans="1:6" ht="13.7" customHeight="1" x14ac:dyDescent="0.2">
      <c r="A14" s="716" t="s">
        <v>430</v>
      </c>
      <c r="B14" s="1765">
        <f>SUM('Revenues 9-14'!C7:D7,'Revenues 9-14'!F7:H7)</f>
        <v>0</v>
      </c>
      <c r="C14" s="585"/>
      <c r="D14" s="1768">
        <f t="shared" si="0"/>
        <v>0</v>
      </c>
      <c r="E14" s="585"/>
      <c r="F14" s="1768">
        <f t="shared" si="1"/>
        <v>0</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0</v>
      </c>
      <c r="C16" s="585"/>
      <c r="D16" s="1768">
        <f t="shared" si="0"/>
        <v>0</v>
      </c>
      <c r="E16" s="585"/>
      <c r="F16" s="1768">
        <f t="shared" si="1"/>
        <v>0</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0</v>
      </c>
      <c r="C18" s="585"/>
      <c r="D18" s="1768">
        <f t="shared" si="0"/>
        <v>0</v>
      </c>
      <c r="E18" s="585"/>
      <c r="F18" s="1768">
        <f t="shared" si="1"/>
        <v>0</v>
      </c>
    </row>
    <row r="19" spans="1:6" ht="13.7" customHeight="1" thickBot="1" x14ac:dyDescent="0.25">
      <c r="A19" s="1769" t="s">
        <v>1223</v>
      </c>
      <c r="B19" s="1766">
        <f>SUM(B4:B18)</f>
        <v>0</v>
      </c>
      <c r="C19" s="1766">
        <f>SUM(C4:C18)</f>
        <v>0</v>
      </c>
      <c r="D19" s="1766">
        <f>SUM(D4:D18)</f>
        <v>0</v>
      </c>
      <c r="E19" s="1766">
        <f>SUM(E4:E18)</f>
        <v>0</v>
      </c>
      <c r="F19" s="1766">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B53" sqref="B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40"/>
      <c r="C1" s="722"/>
    </row>
    <row r="2" spans="1:7" ht="33.75" x14ac:dyDescent="0.2">
      <c r="A2" s="2248" t="s">
        <v>1901</v>
      </c>
      <c r="B2" s="2249"/>
      <c r="C2" s="1898" t="s">
        <v>2032</v>
      </c>
      <c r="D2" s="724" t="s">
        <v>2039</v>
      </c>
      <c r="E2" s="724" t="s">
        <v>2040</v>
      </c>
      <c r="F2" s="1898" t="s">
        <v>2033</v>
      </c>
    </row>
    <row r="3" spans="1:7" ht="15.75" customHeight="1" x14ac:dyDescent="0.2">
      <c r="A3" s="2252" t="s">
        <v>1176</v>
      </c>
      <c r="B3" s="2253"/>
      <c r="C3" s="2241"/>
      <c r="D3" s="2242"/>
      <c r="E3" s="2242"/>
      <c r="F3" s="2243"/>
    </row>
    <row r="4" spans="1:7" ht="12.75" customHeight="1" thickBot="1" x14ac:dyDescent="0.25">
      <c r="A4" s="2250" t="s">
        <v>651</v>
      </c>
      <c r="B4" s="2251"/>
      <c r="C4" s="581"/>
      <c r="D4" s="581"/>
      <c r="E4" s="581"/>
      <c r="F4" s="1770">
        <f>SUM(C4+D4)-E4</f>
        <v>0</v>
      </c>
    </row>
    <row r="5" spans="1:7" ht="15.75" customHeight="1" thickTop="1" x14ac:dyDescent="0.2">
      <c r="A5" s="2235" t="s">
        <v>1172</v>
      </c>
      <c r="B5" s="2236"/>
      <c r="C5" s="2244"/>
      <c r="D5" s="2245"/>
      <c r="E5" s="2245"/>
      <c r="F5" s="2246"/>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237" t="s">
        <v>652</v>
      </c>
      <c r="B15" s="2238"/>
      <c r="C15" s="1770">
        <f>SUM(C6:C14)</f>
        <v>0</v>
      </c>
      <c r="D15" s="1770">
        <f>SUM(D6:D14)</f>
        <v>0</v>
      </c>
      <c r="E15" s="1770">
        <f>SUM(E6:E14)</f>
        <v>0</v>
      </c>
      <c r="F15" s="1770">
        <f>SUM(F6:F14)</f>
        <v>0</v>
      </c>
      <c r="G15" s="552"/>
    </row>
    <row r="16" spans="1:7" s="202" customFormat="1" ht="15.75" customHeight="1" thickTop="1" x14ac:dyDescent="0.2">
      <c r="A16" s="2247" t="s">
        <v>1173</v>
      </c>
      <c r="B16" s="2236"/>
      <c r="C16" s="2244"/>
      <c r="D16" s="2245"/>
      <c r="E16" s="2245"/>
      <c r="F16" s="2246"/>
    </row>
    <row r="17" spans="1:11" ht="12.75" customHeight="1" thickBot="1" x14ac:dyDescent="0.25">
      <c r="A17" s="2260" t="s">
        <v>66</v>
      </c>
      <c r="B17" s="2261"/>
      <c r="C17" s="727"/>
      <c r="D17" s="585"/>
      <c r="E17" s="727"/>
      <c r="F17" s="1770">
        <f>SUM(C17+D17)-E17</f>
        <v>0</v>
      </c>
    </row>
    <row r="18" spans="1:11" ht="12.75" customHeight="1" thickTop="1" thickBot="1" x14ac:dyDescent="0.25">
      <c r="A18" s="2260" t="s">
        <v>6</v>
      </c>
      <c r="B18" s="2261"/>
      <c r="C18" s="727"/>
      <c r="D18" s="585"/>
      <c r="E18" s="727"/>
      <c r="F18" s="1770">
        <f>SUM(C18+D18)-E18</f>
        <v>0</v>
      </c>
    </row>
    <row r="19" spans="1:11" ht="12.75" customHeight="1" thickTop="1" thickBot="1" x14ac:dyDescent="0.25">
      <c r="A19" s="2260" t="s">
        <v>406</v>
      </c>
      <c r="B19" s="2261"/>
      <c r="C19" s="727"/>
      <c r="D19" s="585"/>
      <c r="E19" s="727"/>
      <c r="F19" s="1770">
        <f>SUM(C19+D19)-E19</f>
        <v>0</v>
      </c>
    </row>
    <row r="20" spans="1:11" ht="12.75" customHeight="1" thickTop="1" thickBot="1" x14ac:dyDescent="0.25">
      <c r="A20" s="2260" t="s">
        <v>468</v>
      </c>
      <c r="B20" s="2261"/>
      <c r="C20" s="727"/>
      <c r="D20" s="585"/>
      <c r="E20" s="727"/>
      <c r="F20" s="1770">
        <f>SUM(C20+D20)-E20</f>
        <v>0</v>
      </c>
    </row>
    <row r="21" spans="1:11" ht="14.25" thickTop="1" thickBot="1" x14ac:dyDescent="0.25">
      <c r="A21" s="2237" t="s">
        <v>653</v>
      </c>
      <c r="B21" s="2238"/>
      <c r="C21" s="1770">
        <f>SUM(C17:C20)</f>
        <v>0</v>
      </c>
      <c r="D21" s="1770">
        <f>SUM(D17:D20)</f>
        <v>0</v>
      </c>
      <c r="E21" s="1770">
        <f>SUM(E17:E20)</f>
        <v>0</v>
      </c>
      <c r="F21" s="1770">
        <f>SUM(F17:F20)</f>
        <v>0</v>
      </c>
      <c r="G21" s="552"/>
    </row>
    <row r="22" spans="1:11" ht="15.75" customHeight="1" thickTop="1" x14ac:dyDescent="0.2">
      <c r="A22" s="2262" t="s">
        <v>1174</v>
      </c>
      <c r="B22" s="2236"/>
      <c r="C22" s="2244"/>
      <c r="D22" s="2245"/>
      <c r="E22" s="2245"/>
      <c r="F22" s="2246"/>
    </row>
    <row r="23" spans="1:11" ht="13.5" thickBot="1" x14ac:dyDescent="0.25">
      <c r="A23" s="2250" t="s">
        <v>654</v>
      </c>
      <c r="B23" s="2251"/>
      <c r="C23" s="581"/>
      <c r="D23" s="581"/>
      <c r="E23" s="581"/>
      <c r="F23" s="1770">
        <f>SUM(C23+D23)-E23</f>
        <v>0</v>
      </c>
      <c r="G23" s="552"/>
    </row>
    <row r="24" spans="1:11" ht="15.75" customHeight="1" thickTop="1" x14ac:dyDescent="0.2">
      <c r="A24" s="2262" t="s">
        <v>1175</v>
      </c>
      <c r="B24" s="2236"/>
      <c r="C24" s="2244"/>
      <c r="D24" s="2245"/>
      <c r="E24" s="2245"/>
      <c r="F24" s="2246"/>
    </row>
    <row r="25" spans="1:11" ht="13.5" thickBot="1" x14ac:dyDescent="0.25">
      <c r="A25" s="2250" t="s">
        <v>655</v>
      </c>
      <c r="B25" s="2251"/>
      <c r="C25" s="581"/>
      <c r="D25" s="581"/>
      <c r="E25" s="581"/>
      <c r="F25" s="1770">
        <f>SUM(C25+D25)-E25</f>
        <v>0</v>
      </c>
      <c r="G25" s="552"/>
    </row>
    <row r="26" spans="1:11" ht="15.75" customHeight="1" thickTop="1" x14ac:dyDescent="0.2">
      <c r="A26" s="2235" t="s">
        <v>678</v>
      </c>
      <c r="B26" s="2236"/>
      <c r="C26" s="728"/>
      <c r="D26" s="728"/>
      <c r="E26" s="728"/>
      <c r="F26" s="729"/>
    </row>
    <row r="27" spans="1:11" ht="13.5" thickBot="1" x14ac:dyDescent="0.25">
      <c r="A27" s="2237" t="s">
        <v>1130</v>
      </c>
      <c r="B27" s="2238"/>
      <c r="C27" s="585"/>
      <c r="D27" s="585"/>
      <c r="E27" s="585"/>
      <c r="F27" s="1770">
        <f>SUM(C27+D27)-E27</f>
        <v>0</v>
      </c>
      <c r="G27" s="552"/>
    </row>
    <row r="28" spans="1:11" ht="7.5" customHeight="1" thickTop="1" x14ac:dyDescent="0.2">
      <c r="A28" s="594"/>
    </row>
    <row r="29" spans="1:11" ht="23.25" customHeight="1" x14ac:dyDescent="0.2">
      <c r="A29" s="2263" t="s">
        <v>603</v>
      </c>
      <c r="B29" s="2240"/>
      <c r="C29" s="730"/>
      <c r="D29" s="730"/>
      <c r="E29" s="730"/>
      <c r="F29" s="730"/>
      <c r="G29" s="730"/>
      <c r="H29" s="730"/>
      <c r="I29" s="730"/>
      <c r="J29" s="730"/>
    </row>
    <row r="30" spans="1:11" ht="33.75" x14ac:dyDescent="0.2">
      <c r="A30" s="1550" t="s">
        <v>1131</v>
      </c>
      <c r="B30" s="731" t="s">
        <v>1186</v>
      </c>
      <c r="C30" s="1899" t="s">
        <v>604</v>
      </c>
      <c r="D30" s="1899" t="s">
        <v>1772</v>
      </c>
      <c r="E30" s="1899" t="s">
        <v>2034</v>
      </c>
      <c r="F30" s="1899" t="s">
        <v>2035</v>
      </c>
      <c r="G30" s="1899" t="s">
        <v>2038</v>
      </c>
      <c r="H30" s="1899" t="s">
        <v>2036</v>
      </c>
      <c r="I30" s="1899" t="s">
        <v>2037</v>
      </c>
      <c r="J30" s="1900" t="s">
        <v>2</v>
      </c>
      <c r="K30" s="732"/>
    </row>
    <row r="31" spans="1:11" ht="12" customHeight="1" x14ac:dyDescent="0.2">
      <c r="A31" s="733"/>
      <c r="B31" s="734"/>
      <c r="C31" s="735"/>
      <c r="D31" s="736"/>
      <c r="E31" s="735"/>
      <c r="F31" s="735"/>
      <c r="G31" s="735"/>
      <c r="H31" s="735"/>
      <c r="I31" s="1771">
        <f>((E31+F31)-H31)+G31</f>
        <v>0</v>
      </c>
      <c r="J31" s="735"/>
      <c r="K31" s="737"/>
    </row>
    <row r="32" spans="1:11" ht="12" customHeight="1" x14ac:dyDescent="0.2">
      <c r="A32" s="733"/>
      <c r="B32" s="734"/>
      <c r="C32" s="735"/>
      <c r="D32" s="736"/>
      <c r="E32" s="735"/>
      <c r="F32" s="735"/>
      <c r="G32" s="735"/>
      <c r="H32" s="735"/>
      <c r="I32" s="1771">
        <f>((E32+F32)-H32)+G32</f>
        <v>0</v>
      </c>
      <c r="J32" s="735"/>
      <c r="K32" s="737"/>
    </row>
    <row r="33" spans="1:11" ht="12" customHeight="1" x14ac:dyDescent="0.2">
      <c r="A33" s="733"/>
      <c r="B33" s="734"/>
      <c r="C33" s="735"/>
      <c r="D33" s="736"/>
      <c r="E33" s="735"/>
      <c r="F33" s="735"/>
      <c r="G33" s="735"/>
      <c r="H33" s="735"/>
      <c r="I33" s="1771">
        <f t="shared" ref="I33:I48" si="1">((E33+F33)-H33)+G33</f>
        <v>0</v>
      </c>
      <c r="J33" s="735"/>
      <c r="K33" s="737"/>
    </row>
    <row r="34" spans="1:11" ht="12" customHeight="1" x14ac:dyDescent="0.2">
      <c r="A34" s="733"/>
      <c r="B34" s="734"/>
      <c r="C34" s="735"/>
      <c r="D34" s="736"/>
      <c r="E34" s="735"/>
      <c r="F34" s="735"/>
      <c r="G34" s="735"/>
      <c r="H34" s="735"/>
      <c r="I34" s="1771">
        <f t="shared" si="1"/>
        <v>0</v>
      </c>
      <c r="J34" s="735"/>
      <c r="K34" s="738"/>
    </row>
    <row r="35" spans="1:11" ht="12" customHeight="1" x14ac:dyDescent="0.2">
      <c r="A35" s="733"/>
      <c r="B35" s="734"/>
      <c r="C35" s="739"/>
      <c r="D35" s="736"/>
      <c r="E35" s="739"/>
      <c r="F35" s="739"/>
      <c r="G35" s="739"/>
      <c r="H35" s="739"/>
      <c r="I35" s="1771">
        <f t="shared" si="1"/>
        <v>0</v>
      </c>
      <c r="J35" s="739"/>
      <c r="K35" s="738"/>
    </row>
    <row r="36" spans="1:11" ht="12" customHeight="1" x14ac:dyDescent="0.2">
      <c r="A36" s="733"/>
      <c r="B36" s="734"/>
      <c r="C36" s="735"/>
      <c r="D36" s="736"/>
      <c r="E36" s="735"/>
      <c r="F36" s="735"/>
      <c r="G36" s="735"/>
      <c r="H36" s="735"/>
      <c r="I36" s="1771">
        <f t="shared" si="1"/>
        <v>0</v>
      </c>
      <c r="J36" s="735"/>
      <c r="K36" s="740"/>
    </row>
    <row r="37" spans="1:11" ht="12" customHeight="1" x14ac:dyDescent="0.2">
      <c r="A37" s="733"/>
      <c r="B37" s="734"/>
      <c r="C37" s="467"/>
      <c r="D37" s="741"/>
      <c r="E37" s="467"/>
      <c r="F37" s="467"/>
      <c r="G37" s="467"/>
      <c r="H37" s="467"/>
      <c r="I37" s="1771">
        <f t="shared" si="1"/>
        <v>0</v>
      </c>
      <c r="J37" s="467"/>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0</v>
      </c>
      <c r="D49" s="746"/>
      <c r="E49" s="1771">
        <f t="shared" ref="E49:J49" si="2">SUM(E31:E48)</f>
        <v>0</v>
      </c>
      <c r="F49" s="1771">
        <f t="shared" si="2"/>
        <v>0</v>
      </c>
      <c r="G49" s="1771">
        <f t="shared" si="2"/>
        <v>0</v>
      </c>
      <c r="H49" s="1771">
        <f t="shared" si="2"/>
        <v>0</v>
      </c>
      <c r="I49" s="1771">
        <f t="shared" si="2"/>
        <v>0</v>
      </c>
      <c r="J49" s="1771">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54" t="s">
        <v>605</v>
      </c>
      <c r="C52" s="2255"/>
      <c r="D52" s="2255"/>
      <c r="E52" s="750" t="s">
        <v>900</v>
      </c>
      <c r="F52" s="2256"/>
      <c r="G52" s="2257"/>
      <c r="H52" s="737"/>
      <c r="I52" s="737"/>
      <c r="J52" s="747"/>
    </row>
    <row r="53" spans="1:11" ht="11.25" customHeight="1" x14ac:dyDescent="0.2">
      <c r="A53" s="751" t="s">
        <v>969</v>
      </c>
      <c r="B53" s="752" t="s">
        <v>1008</v>
      </c>
      <c r="C53" s="747"/>
      <c r="D53" s="738"/>
      <c r="E53" s="750" t="s">
        <v>518</v>
      </c>
      <c r="F53" s="2258"/>
      <c r="G53" s="2259"/>
      <c r="H53" s="737"/>
      <c r="I53" s="737"/>
      <c r="J53" s="747"/>
    </row>
    <row r="54" spans="1:11" ht="11.25" customHeight="1" x14ac:dyDescent="0.2">
      <c r="A54" s="753" t="s">
        <v>970</v>
      </c>
      <c r="B54" s="748" t="s">
        <v>1009</v>
      </c>
      <c r="C54" s="747"/>
      <c r="D54" s="738"/>
      <c r="E54" s="750" t="s">
        <v>519</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53" sqref="B5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911</v>
      </c>
      <c r="B1" s="2289"/>
      <c r="C1" s="2289"/>
      <c r="D1" s="2289"/>
      <c r="E1" s="2289"/>
      <c r="F1" s="2289"/>
      <c r="G1" s="2290"/>
      <c r="H1" s="1551"/>
      <c r="I1" s="761"/>
      <c r="J1" s="433"/>
    </row>
    <row r="2" spans="1:11" ht="26.25" x14ac:dyDescent="0.2">
      <c r="A2" s="2267" t="s">
        <v>1776</v>
      </c>
      <c r="B2" s="2268"/>
      <c r="C2" s="2268"/>
      <c r="D2" s="2268"/>
      <c r="E2" s="2269"/>
      <c r="F2" s="762" t="s">
        <v>960</v>
      </c>
      <c r="G2" s="763" t="s">
        <v>1773</v>
      </c>
      <c r="H2" s="763" t="s">
        <v>430</v>
      </c>
      <c r="I2" s="763" t="s">
        <v>1220</v>
      </c>
      <c r="J2" s="763" t="s">
        <v>1915</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55"/>
      <c r="F4" s="767"/>
      <c r="G4" s="768"/>
      <c r="H4" s="769"/>
      <c r="I4" s="768"/>
      <c r="J4" s="770"/>
      <c r="K4" s="770"/>
    </row>
    <row r="5" spans="1:11" x14ac:dyDescent="0.2">
      <c r="A5" s="2291" t="s">
        <v>1129</v>
      </c>
      <c r="B5" s="2264"/>
      <c r="C5" s="2264"/>
      <c r="D5" s="2264"/>
      <c r="E5" s="229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91" t="s">
        <v>1916</v>
      </c>
      <c r="B10" s="2264"/>
      <c r="C10" s="2264"/>
      <c r="D10" s="2264"/>
      <c r="E10" s="2293"/>
      <c r="F10" s="784" t="s">
        <v>917</v>
      </c>
      <c r="G10" s="783"/>
      <c r="H10" s="785"/>
      <c r="I10" s="765"/>
      <c r="J10" s="766"/>
      <c r="K10" s="766"/>
    </row>
    <row r="11" spans="1:11" x14ac:dyDescent="0.2">
      <c r="A11" s="2291" t="s">
        <v>162</v>
      </c>
      <c r="B11" s="2264"/>
      <c r="C11" s="2264"/>
      <c r="D11" s="2264"/>
      <c r="E11" s="2292"/>
      <c r="F11" s="771" t="s">
        <v>907</v>
      </c>
      <c r="G11" s="772"/>
      <c r="H11" s="765"/>
      <c r="I11" s="765"/>
      <c r="J11" s="766"/>
      <c r="K11" s="774"/>
    </row>
    <row r="12" spans="1:11" ht="13.5" thickBot="1" x14ac:dyDescent="0.25">
      <c r="A12" s="2281" t="s">
        <v>961</v>
      </c>
      <c r="B12" s="2282"/>
      <c r="C12" s="2282"/>
      <c r="D12" s="2282"/>
      <c r="E12" s="2283"/>
      <c r="F12" s="1772"/>
      <c r="G12" s="1773">
        <f>SUM(G5:G11)</f>
        <v>0</v>
      </c>
      <c r="H12" s="1773">
        <f>SUM(H5:H11)</f>
        <v>0</v>
      </c>
      <c r="I12" s="1773">
        <f>SUM(I5:I11)</f>
        <v>0</v>
      </c>
      <c r="J12" s="1773">
        <f>SUM(J5:J11)</f>
        <v>0</v>
      </c>
      <c r="K12" s="1773">
        <f>SUM(K5:K11)</f>
        <v>0</v>
      </c>
    </row>
    <row r="13" spans="1:11" ht="13.5" thickTop="1" x14ac:dyDescent="0.2">
      <c r="A13" s="2275" t="s">
        <v>388</v>
      </c>
      <c r="B13" s="2276"/>
      <c r="C13" s="2276"/>
      <c r="D13" s="2276"/>
      <c r="E13" s="2277"/>
      <c r="F13" s="786"/>
      <c r="G13" s="787"/>
      <c r="H13" s="788"/>
      <c r="I13" s="789"/>
      <c r="J13" s="789"/>
      <c r="K13" s="789"/>
    </row>
    <row r="14" spans="1:11" x14ac:dyDescent="0.2">
      <c r="A14" s="2297" t="s">
        <v>476</v>
      </c>
      <c r="B14" s="2297"/>
      <c r="C14" s="2297"/>
      <c r="D14" s="2297"/>
      <c r="E14" s="2298"/>
      <c r="F14" s="790" t="s">
        <v>909</v>
      </c>
      <c r="G14" s="783"/>
      <c r="H14" s="765"/>
      <c r="I14" s="772"/>
      <c r="J14" s="774"/>
      <c r="K14" s="766"/>
    </row>
    <row r="15" spans="1:11" x14ac:dyDescent="0.2">
      <c r="A15" s="2264" t="s">
        <v>4</v>
      </c>
      <c r="B15" s="2264"/>
      <c r="C15" s="2264"/>
      <c r="D15" s="2264"/>
      <c r="E15" s="2292"/>
      <c r="F15" s="790" t="s">
        <v>910</v>
      </c>
      <c r="G15" s="772"/>
      <c r="H15" s="765"/>
      <c r="I15" s="765"/>
      <c r="J15" s="766"/>
      <c r="K15" s="766"/>
    </row>
    <row r="16" spans="1:11" x14ac:dyDescent="0.2">
      <c r="A16" s="2264" t="s">
        <v>316</v>
      </c>
      <c r="B16" s="2264"/>
      <c r="C16" s="2264"/>
      <c r="D16" s="2264"/>
      <c r="E16" s="2292"/>
      <c r="F16" s="790" t="s">
        <v>980</v>
      </c>
      <c r="G16" s="773"/>
      <c r="H16" s="768"/>
      <c r="I16" s="768"/>
      <c r="J16" s="770"/>
      <c r="K16" s="770"/>
    </row>
    <row r="17" spans="1:11" x14ac:dyDescent="0.2">
      <c r="A17" s="2286" t="s">
        <v>992</v>
      </c>
      <c r="B17" s="2286"/>
      <c r="C17" s="2286"/>
      <c r="D17" s="2286"/>
      <c r="E17" s="2287"/>
      <c r="F17" s="791"/>
      <c r="G17" s="792"/>
      <c r="H17" s="793"/>
      <c r="I17" s="793"/>
      <c r="J17" s="794"/>
      <c r="K17" s="795"/>
    </row>
    <row r="18" spans="1:11" x14ac:dyDescent="0.2">
      <c r="A18" s="2278" t="s">
        <v>386</v>
      </c>
      <c r="B18" s="2279"/>
      <c r="C18" s="2279"/>
      <c r="D18" s="2279"/>
      <c r="E18" s="2280"/>
      <c r="F18" s="790" t="s">
        <v>989</v>
      </c>
      <c r="G18" s="783"/>
      <c r="H18" s="783"/>
      <c r="I18" s="783"/>
      <c r="J18" s="766"/>
      <c r="K18" s="796"/>
    </row>
    <row r="19" spans="1:11" ht="21.75" customHeight="1" x14ac:dyDescent="0.2">
      <c r="A19" s="2299" t="s">
        <v>1912</v>
      </c>
      <c r="B19" s="2299"/>
      <c r="C19" s="2299"/>
      <c r="D19" s="2299"/>
      <c r="E19" s="2300"/>
      <c r="F19" s="790" t="s">
        <v>990</v>
      </c>
      <c r="G19" s="783"/>
      <c r="H19" s="783"/>
      <c r="I19" s="783"/>
      <c r="J19" s="766"/>
      <c r="K19" s="796"/>
    </row>
    <row r="20" spans="1:11" x14ac:dyDescent="0.2">
      <c r="A20" s="2278" t="s">
        <v>1917</v>
      </c>
      <c r="B20" s="2279"/>
      <c r="C20" s="2279"/>
      <c r="D20" s="2279"/>
      <c r="E20" s="2280"/>
      <c r="F20" s="790" t="s">
        <v>991</v>
      </c>
      <c r="G20" s="783"/>
      <c r="H20" s="783"/>
      <c r="I20" s="783"/>
      <c r="J20" s="766"/>
      <c r="K20" s="796"/>
    </row>
    <row r="21" spans="1:11" ht="13.5" thickBot="1" x14ac:dyDescent="0.25">
      <c r="A21" s="2284" t="s">
        <v>659</v>
      </c>
      <c r="B21" s="2284"/>
      <c r="C21" s="2284"/>
      <c r="D21" s="2284"/>
      <c r="E21" s="2284"/>
      <c r="F21" s="1774"/>
      <c r="G21" s="793"/>
      <c r="H21" s="797"/>
      <c r="I21" s="797"/>
      <c r="J21" s="1775">
        <f>SUM(J18:J20)</f>
        <v>0</v>
      </c>
      <c r="K21" s="794"/>
    </row>
    <row r="22" spans="1:11" ht="13.5" thickTop="1" x14ac:dyDescent="0.2">
      <c r="A22" s="2264" t="s">
        <v>1918</v>
      </c>
      <c r="B22" s="2264"/>
      <c r="C22" s="2264"/>
      <c r="D22" s="2264"/>
      <c r="E22" s="2292"/>
      <c r="F22" s="790" t="s">
        <v>917</v>
      </c>
      <c r="G22" s="783"/>
      <c r="H22" s="765"/>
      <c r="I22" s="765"/>
      <c r="J22" s="798"/>
      <c r="K22" s="766"/>
    </row>
    <row r="23" spans="1:11" ht="13.5" thickBot="1" x14ac:dyDescent="0.25">
      <c r="A23" s="2285" t="s">
        <v>962</v>
      </c>
      <c r="B23" s="2284"/>
      <c r="C23" s="2284"/>
      <c r="D23" s="2284"/>
      <c r="E23" s="2284"/>
      <c r="F23" s="1776"/>
      <c r="G23" s="1773">
        <f>SUM(G14:G16,G21,G22)</f>
        <v>0</v>
      </c>
      <c r="H23" s="1773">
        <f>SUM(H14:H16,H21,H22)</f>
        <v>0</v>
      </c>
      <c r="I23" s="1773">
        <f>SUM(I14:I16,I21,I22)</f>
        <v>0</v>
      </c>
      <c r="J23" s="1773">
        <f>SUM(J14:J16,J21,J22)</f>
        <v>0</v>
      </c>
      <c r="K23" s="1773">
        <f>SUM(K14:K16,K21,K22)</f>
        <v>0</v>
      </c>
    </row>
    <row r="24" spans="1:11" ht="14.25" thickTop="1" thickBot="1" x14ac:dyDescent="0.25">
      <c r="A24" s="2285" t="s">
        <v>2020</v>
      </c>
      <c r="B24" s="2284"/>
      <c r="C24" s="2284"/>
      <c r="D24" s="2284"/>
      <c r="E24" s="2284"/>
      <c r="F24" s="1777"/>
      <c r="G24" s="1778">
        <f>SUM(G3,G12)-G23</f>
        <v>0</v>
      </c>
      <c r="H24" s="1778">
        <f>SUM(H3,H12)-H23</f>
        <v>0</v>
      </c>
      <c r="I24" s="1778">
        <f>SUM(I3,I12)-I23</f>
        <v>0</v>
      </c>
      <c r="J24" s="1778">
        <f>SUM(J3,J12)-J23</f>
        <v>0</v>
      </c>
      <c r="K24" s="177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4" t="s">
        <v>2030</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4"/>
      <c r="I31" s="2295"/>
      <c r="J31" s="2295"/>
      <c r="K31" s="2295"/>
    </row>
    <row r="32" spans="1:11" x14ac:dyDescent="0.2">
      <c r="A32" s="810"/>
      <c r="B32" s="237"/>
      <c r="C32" s="237"/>
      <c r="D32" s="237"/>
      <c r="E32" s="806"/>
      <c r="F32" s="812" t="s">
        <v>561</v>
      </c>
      <c r="G32" s="765"/>
      <c r="H32" s="2296"/>
      <c r="I32" s="2295"/>
      <c r="J32" s="2295"/>
      <c r="K32" s="2295"/>
    </row>
    <row r="33" spans="1:11" ht="1.5" customHeight="1" x14ac:dyDescent="0.2">
      <c r="A33" s="813" t="s">
        <v>1231</v>
      </c>
      <c r="B33" s="364"/>
      <c r="C33" s="364"/>
      <c r="D33" s="364"/>
      <c r="E33" s="364"/>
      <c r="F33" s="364"/>
      <c r="G33" s="814"/>
      <c r="H33" s="2296"/>
      <c r="I33" s="2295"/>
      <c r="J33" s="2295"/>
      <c r="K33" s="2295"/>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4"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37" sqref="H3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2029</v>
      </c>
      <c r="B1" s="2304"/>
      <c r="C1" s="2305"/>
      <c r="D1" s="827"/>
      <c r="E1" s="828"/>
      <c r="F1" s="828"/>
      <c r="G1" s="829"/>
      <c r="H1" s="830"/>
      <c r="I1" s="831"/>
      <c r="J1" s="2301"/>
      <c r="K1" s="2302"/>
      <c r="L1" s="230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0" t="s">
        <v>948</v>
      </c>
      <c r="B3" s="1651">
        <v>210</v>
      </c>
      <c r="C3" s="836"/>
      <c r="D3" s="836"/>
      <c r="E3" s="836"/>
      <c r="F3" s="1775">
        <f>(C3+D3)-E3</f>
        <v>0</v>
      </c>
      <c r="G3" s="837"/>
      <c r="H3" s="836"/>
      <c r="I3" s="836"/>
      <c r="J3" s="836"/>
      <c r="K3" s="1784">
        <f>(H3+I3)-J3</f>
        <v>0</v>
      </c>
      <c r="L3" s="1784">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7000</v>
      </c>
      <c r="D5" s="842"/>
      <c r="E5" s="842"/>
      <c r="F5" s="1775">
        <f>(C5+D5)-E5</f>
        <v>7000</v>
      </c>
      <c r="G5" s="838"/>
      <c r="H5" s="843"/>
      <c r="I5" s="843"/>
      <c r="J5" s="843"/>
      <c r="K5" s="794"/>
      <c r="L5" s="1784">
        <f>F5-K5</f>
        <v>7000</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230837</v>
      </c>
      <c r="D8" s="845"/>
      <c r="E8" s="845"/>
      <c r="F8" s="1775">
        <f>(C8+D8)-E8</f>
        <v>230837</v>
      </c>
      <c r="G8" s="844">
        <v>50</v>
      </c>
      <c r="H8" s="766"/>
      <c r="I8" s="766"/>
      <c r="J8" s="766"/>
      <c r="K8" s="1784">
        <f>(H8+I8)-J8</f>
        <v>0</v>
      </c>
      <c r="L8" s="1784">
        <f>F8-K8</f>
        <v>230837</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38600</v>
      </c>
      <c r="D10" s="847"/>
      <c r="E10" s="847"/>
      <c r="F10" s="1779">
        <f>(C10+D10)-E10</f>
        <v>38600</v>
      </c>
      <c r="G10" s="844">
        <v>20</v>
      </c>
      <c r="H10" s="848"/>
      <c r="I10" s="848"/>
      <c r="J10" s="848"/>
      <c r="K10" s="1784">
        <f>(H10+I10)-J10</f>
        <v>0</v>
      </c>
      <c r="L10" s="1784">
        <f>F10-K10</f>
        <v>38600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1516804</v>
      </c>
      <c r="D12" s="845">
        <v>55761</v>
      </c>
      <c r="E12" s="845"/>
      <c r="F12" s="1775">
        <f>(C12+D12)-E12</f>
        <v>1572565</v>
      </c>
      <c r="G12" s="844">
        <v>10</v>
      </c>
      <c r="H12" s="766"/>
      <c r="I12" s="766"/>
      <c r="J12" s="766"/>
      <c r="K12" s="1784">
        <f>(H12+I12)-J12</f>
        <v>0</v>
      </c>
      <c r="L12" s="1784">
        <f>F12-K12</f>
        <v>1572565</v>
      </c>
    </row>
    <row r="13" spans="1:14" ht="14.25" thickTop="1" thickBot="1" x14ac:dyDescent="0.25">
      <c r="A13" s="849" t="s">
        <v>1184</v>
      </c>
      <c r="B13" s="841">
        <v>252</v>
      </c>
      <c r="C13" s="845"/>
      <c r="D13" s="845"/>
      <c r="E13" s="845"/>
      <c r="F13" s="1775">
        <f>(C13+D13)-E13</f>
        <v>0</v>
      </c>
      <c r="G13" s="844">
        <v>5</v>
      </c>
      <c r="H13" s="766"/>
      <c r="I13" s="766"/>
      <c r="J13" s="766"/>
      <c r="K13" s="1784">
        <f>(H13+I13)-J13</f>
        <v>0</v>
      </c>
      <c r="L13" s="1784">
        <f>F13-K13</f>
        <v>0</v>
      </c>
    </row>
    <row r="14" spans="1:14" ht="14.25" thickTop="1" thickBot="1" x14ac:dyDescent="0.25">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52" t="s">
        <v>549</v>
      </c>
      <c r="B15" s="1651">
        <v>260</v>
      </c>
      <c r="C15" s="845"/>
      <c r="D15" s="845"/>
      <c r="E15" s="845"/>
      <c r="F15" s="1775">
        <f>(C15+D15)-E15</f>
        <v>0</v>
      </c>
      <c r="G15" s="850" t="s">
        <v>917</v>
      </c>
      <c r="H15" s="782"/>
      <c r="I15" s="782"/>
      <c r="J15" s="782"/>
      <c r="K15" s="782"/>
      <c r="L15" s="1784">
        <f>F15-K15</f>
        <v>0</v>
      </c>
    </row>
    <row r="16" spans="1:14" ht="15" customHeight="1" thickTop="1" thickBot="1" x14ac:dyDescent="0.25">
      <c r="A16" s="1780" t="s">
        <v>664</v>
      </c>
      <c r="B16" s="1781">
        <v>200</v>
      </c>
      <c r="C16" s="1775">
        <f>SUM(C3,C5:C6,C8:C10,C12:C15)</f>
        <v>1793241</v>
      </c>
      <c r="D16" s="1775">
        <f>SUM(D3,D5:D6,D8:D10,D12:D15)</f>
        <v>55761</v>
      </c>
      <c r="E16" s="1775">
        <f>SUM(E3,E5:E6,E8:E10,E12:E15)</f>
        <v>0</v>
      </c>
      <c r="F16" s="1775">
        <f>SUM(F3,F5:F6,F8:F10,F12:F15)</f>
        <v>1849002</v>
      </c>
      <c r="G16" s="844"/>
      <c r="H16" s="1775">
        <f>SUM(H3,H6,H8:H10,H12:H14,)</f>
        <v>0</v>
      </c>
      <c r="I16" s="1775">
        <f>SUM(I3,I6,I8:I10,I12:I14,)</f>
        <v>0</v>
      </c>
      <c r="J16" s="1775">
        <f>SUM(J3,J6,J8:J10,J12:J14,)</f>
        <v>0</v>
      </c>
      <c r="K16" s="1775">
        <f>(H16+I16)-J16</f>
        <v>0</v>
      </c>
      <c r="L16" s="1775">
        <f>F16-K16</f>
        <v>1849002</v>
      </c>
    </row>
    <row r="17" spans="1:12" ht="15" customHeight="1" thickTop="1" thickBot="1" x14ac:dyDescent="0.25">
      <c r="A17" s="1654" t="s">
        <v>309</v>
      </c>
      <c r="B17" s="1651">
        <v>700</v>
      </c>
      <c r="C17" s="770"/>
      <c r="D17" s="770"/>
      <c r="E17" s="770"/>
      <c r="F17" s="1775">
        <f>SUM('Expenditures 15-22'!I114,'Expenditures 15-22'!I151,'Expenditures 15-22'!I210,'Expenditures 15-22'!I312,'Expenditures 15-22'!I342,'Expenditures 15-22'!I367)</f>
        <v>0</v>
      </c>
      <c r="G17" s="838">
        <v>10</v>
      </c>
      <c r="H17" s="770"/>
      <c r="I17" s="1784">
        <f>F17/G17</f>
        <v>0</v>
      </c>
      <c r="J17" s="770"/>
      <c r="K17" s="796"/>
      <c r="L17" s="796"/>
    </row>
    <row r="18" spans="1:12" ht="14.25" thickTop="1" thickBot="1" x14ac:dyDescent="0.25">
      <c r="A18" s="1782" t="s">
        <v>706</v>
      </c>
      <c r="B18" s="1783"/>
      <c r="C18" s="772"/>
      <c r="D18" s="772"/>
      <c r="E18" s="772"/>
      <c r="F18" s="851"/>
      <c r="G18" s="852"/>
      <c r="H18" s="774"/>
      <c r="I18" s="1775">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C1" colorId="8" zoomScale="110" zoomScaleNormal="110" workbookViewId="0">
      <pane ySplit="5" topLeftCell="A42"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1699</v>
      </c>
      <c r="B1" s="2310"/>
      <c r="C1" s="2310"/>
      <c r="D1" s="2310"/>
      <c r="E1" s="2310"/>
      <c r="F1" s="2311"/>
      <c r="G1" s="856"/>
    </row>
    <row r="2" spans="1:7" ht="15" customHeight="1" thickBot="1" x14ac:dyDescent="0.25">
      <c r="A2" s="2312" t="s">
        <v>498</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5"/>
      <c r="B5" s="2316"/>
      <c r="C5" s="2316"/>
      <c r="D5" s="2316"/>
      <c r="E5" s="2316"/>
      <c r="F5" s="2316"/>
    </row>
    <row r="6" spans="1:7" ht="13.5" customHeight="1" thickBot="1" x14ac:dyDescent="0.25">
      <c r="A6" s="2306" t="s">
        <v>1166</v>
      </c>
      <c r="B6" s="2307"/>
      <c r="C6" s="2307"/>
      <c r="D6" s="2307"/>
      <c r="E6" s="2307"/>
      <c r="F6" s="230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12338870</v>
      </c>
      <c r="G8" s="866"/>
    </row>
    <row r="9" spans="1:7" x14ac:dyDescent="0.2">
      <c r="A9" s="870" t="s">
        <v>480</v>
      </c>
      <c r="B9" s="871" t="s">
        <v>1984</v>
      </c>
      <c r="C9" s="872"/>
      <c r="D9" s="870" t="s">
        <v>522</v>
      </c>
      <c r="E9" s="869"/>
      <c r="F9" s="1924">
        <f>'Expenditures 15-22'!K151</f>
        <v>0</v>
      </c>
      <c r="G9" s="873"/>
    </row>
    <row r="10" spans="1:7" x14ac:dyDescent="0.2">
      <c r="A10" s="870" t="s">
        <v>520</v>
      </c>
      <c r="B10" s="871" t="s">
        <v>1985</v>
      </c>
      <c r="C10" s="872"/>
      <c r="D10" s="870" t="s">
        <v>522</v>
      </c>
      <c r="E10" s="869"/>
      <c r="F10" s="1924">
        <f>'Expenditures 15-22'!K174</f>
        <v>0</v>
      </c>
      <c r="G10" s="873"/>
    </row>
    <row r="11" spans="1:7" x14ac:dyDescent="0.2">
      <c r="A11" s="870" t="s">
        <v>481</v>
      </c>
      <c r="B11" s="871" t="s">
        <v>1986</v>
      </c>
      <c r="C11" s="872"/>
      <c r="D11" s="870" t="s">
        <v>522</v>
      </c>
      <c r="E11" s="869"/>
      <c r="F11" s="1924">
        <f>'Expenditures 15-22'!K210</f>
        <v>0</v>
      </c>
      <c r="G11" s="873"/>
    </row>
    <row r="12" spans="1:7" x14ac:dyDescent="0.2">
      <c r="A12" s="870" t="s">
        <v>482</v>
      </c>
      <c r="B12" s="871" t="s">
        <v>1987</v>
      </c>
      <c r="C12" s="872"/>
      <c r="D12" s="870" t="s">
        <v>522</v>
      </c>
      <c r="E12" s="869"/>
      <c r="F12" s="1924">
        <f>'Expenditures 15-22'!K295</f>
        <v>0</v>
      </c>
      <c r="G12" s="873"/>
    </row>
    <row r="13" spans="1:7" x14ac:dyDescent="0.2">
      <c r="A13" s="870" t="s">
        <v>108</v>
      </c>
      <c r="B13" s="871" t="s">
        <v>1988</v>
      </c>
      <c r="C13" s="872"/>
      <c r="D13" s="870" t="s">
        <v>522</v>
      </c>
      <c r="E13" s="869"/>
      <c r="F13" s="1924">
        <f>'Expenditures 15-22'!K342</f>
        <v>0</v>
      </c>
      <c r="G13" s="874"/>
    </row>
    <row r="14" spans="1:7" ht="12" customHeight="1" thickBot="1" x14ac:dyDescent="0.25">
      <c r="A14" s="1785"/>
      <c r="B14" s="1786"/>
      <c r="C14" s="1787"/>
      <c r="D14" s="1788" t="s">
        <v>522</v>
      </c>
      <c r="E14" s="1789" t="s">
        <v>1015</v>
      </c>
      <c r="F14" s="1790">
        <f>SUM(F8:F13)</f>
        <v>12338870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752083</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23909</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8">
        <f>'Expenditures 15-22'!K102</f>
        <v>1101673</v>
      </c>
      <c r="G53" s="866"/>
    </row>
    <row r="54" spans="1:7" x14ac:dyDescent="0.2">
      <c r="A54" s="870" t="s">
        <v>479</v>
      </c>
      <c r="B54" s="870" t="s">
        <v>1552</v>
      </c>
      <c r="C54" s="890" t="s">
        <v>1039</v>
      </c>
      <c r="D54" s="886" t="s">
        <v>1157</v>
      </c>
      <c r="E54" s="869"/>
      <c r="F54" s="1928">
        <f>'Expenditures 15-22'!G114</f>
        <v>55761</v>
      </c>
      <c r="G54" s="866"/>
    </row>
    <row r="55" spans="1:7" x14ac:dyDescent="0.2">
      <c r="A55" s="870" t="s">
        <v>479</v>
      </c>
      <c r="B55" s="870" t="s">
        <v>1553</v>
      </c>
      <c r="C55" s="890" t="s">
        <v>1039</v>
      </c>
      <c r="D55" s="886" t="s">
        <v>309</v>
      </c>
      <c r="E55" s="869"/>
      <c r="F55" s="1928">
        <f>'Expenditures 15-22'!I114</f>
        <v>0</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8">
        <f>'Expenditures 15-22'!K139</f>
        <v>0</v>
      </c>
      <c r="G57" s="866"/>
    </row>
    <row r="58" spans="1:7" x14ac:dyDescent="0.2">
      <c r="A58" s="870" t="s">
        <v>480</v>
      </c>
      <c r="B58" s="870" t="s">
        <v>1990</v>
      </c>
      <c r="C58" s="887" t="s">
        <v>1039</v>
      </c>
      <c r="D58" s="886" t="s">
        <v>1157</v>
      </c>
      <c r="E58" s="869"/>
      <c r="F58" s="1930">
        <f>'Expenditures 15-22'!G151</f>
        <v>0</v>
      </c>
      <c r="G58" s="866"/>
    </row>
    <row r="59" spans="1:7" x14ac:dyDescent="0.2">
      <c r="A59" s="894" t="s">
        <v>480</v>
      </c>
      <c r="B59" s="857" t="s">
        <v>1991</v>
      </c>
      <c r="C59" s="895" t="s">
        <v>1039</v>
      </c>
      <c r="D59" s="857" t="s">
        <v>309</v>
      </c>
      <c r="F59" s="1931">
        <f>'Expenditures 15-22'!I151</f>
        <v>0</v>
      </c>
      <c r="G59" s="866"/>
    </row>
    <row r="60" spans="1:7" x14ac:dyDescent="0.2">
      <c r="A60" s="894" t="s">
        <v>520</v>
      </c>
      <c r="B60" s="857" t="s">
        <v>1992</v>
      </c>
      <c r="C60" s="895">
        <v>4000</v>
      </c>
      <c r="D60" s="857" t="s">
        <v>330</v>
      </c>
      <c r="F60" s="1929">
        <f>'Expenditures 15-22'!K160</f>
        <v>0</v>
      </c>
      <c r="G60" s="866"/>
    </row>
    <row r="61" spans="1:7" x14ac:dyDescent="0.2">
      <c r="A61" s="896" t="s">
        <v>520</v>
      </c>
      <c r="B61" s="896" t="s">
        <v>1993</v>
      </c>
      <c r="C61" s="897" t="str">
        <f>'Expenditures 15-22'!B170</f>
        <v>5300</v>
      </c>
      <c r="D61" s="898" t="s">
        <v>329</v>
      </c>
      <c r="E61" s="880"/>
      <c r="F61" s="1928">
        <f>'Expenditures 15-22'!K170</f>
        <v>0</v>
      </c>
      <c r="G61" s="866"/>
    </row>
    <row r="62" spans="1:7" x14ac:dyDescent="0.2">
      <c r="A62" s="870" t="s">
        <v>481</v>
      </c>
      <c r="B62" s="870" t="s">
        <v>1994</v>
      </c>
      <c r="C62" s="887">
        <f>'Expenditures 15-22'!B185</f>
        <v>3000</v>
      </c>
      <c r="D62" s="877" t="s">
        <v>469</v>
      </c>
      <c r="E62" s="869"/>
      <c r="F62" s="1928">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8">
        <f>'Expenditures 15-22'!K196</f>
        <v>0</v>
      </c>
      <c r="G63" s="866"/>
    </row>
    <row r="64" spans="1:7" x14ac:dyDescent="0.2">
      <c r="A64" s="896" t="s">
        <v>481</v>
      </c>
      <c r="B64" s="896" t="s">
        <v>1996</v>
      </c>
      <c r="C64" s="897" t="str">
        <f>'Expenditures 15-22'!B206</f>
        <v>5300</v>
      </c>
      <c r="D64" s="893" t="s">
        <v>329</v>
      </c>
      <c r="E64" s="869"/>
      <c r="F64" s="1928">
        <f>'Expenditures 15-22'!K206</f>
        <v>0</v>
      </c>
      <c r="G64" s="866"/>
    </row>
    <row r="65" spans="1:8" x14ac:dyDescent="0.2">
      <c r="A65" s="870" t="s">
        <v>481</v>
      </c>
      <c r="B65" s="870" t="s">
        <v>1997</v>
      </c>
      <c r="C65" s="887" t="s">
        <v>1039</v>
      </c>
      <c r="D65" s="886" t="s">
        <v>1157</v>
      </c>
      <c r="E65" s="869"/>
      <c r="F65" s="1928">
        <f>'Expenditures 15-22'!G210</f>
        <v>0</v>
      </c>
      <c r="G65" s="866"/>
    </row>
    <row r="66" spans="1:8" x14ac:dyDescent="0.2">
      <c r="A66" s="870" t="s">
        <v>481</v>
      </c>
      <c r="B66" s="870" t="s">
        <v>1998</v>
      </c>
      <c r="C66" s="887" t="s">
        <v>1039</v>
      </c>
      <c r="D66" s="886" t="s">
        <v>309</v>
      </c>
      <c r="E66" s="869"/>
      <c r="F66" s="1928">
        <f>'Expenditures 15-22'!I210</f>
        <v>0</v>
      </c>
      <c r="G66" s="866"/>
    </row>
    <row r="67" spans="1:8" x14ac:dyDescent="0.2">
      <c r="A67" s="870" t="s">
        <v>482</v>
      </c>
      <c r="B67" s="870" t="s">
        <v>1999</v>
      </c>
      <c r="C67" s="887" t="str">
        <f>'Expenditures 15-22'!B216</f>
        <v>1125</v>
      </c>
      <c r="D67" s="893" t="str">
        <f>'Expenditures 15-22'!A216</f>
        <v>Pre-K Programs</v>
      </c>
      <c r="E67" s="869"/>
      <c r="F67" s="1928">
        <f>'Expenditures 15-22'!K216</f>
        <v>0</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2001</v>
      </c>
      <c r="C70" s="887">
        <f>'Expenditures 15-22'!B221</f>
        <v>1300</v>
      </c>
      <c r="D70" s="888" t="str">
        <f>'Expenditures 15-22'!A221</f>
        <v>Adult/Continuing Education Programs</v>
      </c>
      <c r="E70" s="869"/>
      <c r="F70" s="1928">
        <f>'Expenditures 15-22'!K221</f>
        <v>0</v>
      </c>
      <c r="G70" s="866"/>
    </row>
    <row r="71" spans="1:8" x14ac:dyDescent="0.2">
      <c r="A71" s="870" t="s">
        <v>482</v>
      </c>
      <c r="B71" s="870" t="s">
        <v>2002</v>
      </c>
      <c r="C71" s="887">
        <f>'Expenditures 15-22'!B224</f>
        <v>1600</v>
      </c>
      <c r="D71" s="888" t="str">
        <f>'Expenditures 15-22'!A224</f>
        <v>Summer School Programs</v>
      </c>
      <c r="E71" s="869"/>
      <c r="F71" s="1928">
        <f>'Expenditures 15-22'!K224</f>
        <v>0</v>
      </c>
      <c r="G71" s="866"/>
    </row>
    <row r="72" spans="1:8" x14ac:dyDescent="0.2">
      <c r="A72" s="870" t="s">
        <v>482</v>
      </c>
      <c r="B72" s="870" t="s">
        <v>2003</v>
      </c>
      <c r="C72" s="887">
        <f>'Expenditures 15-22'!B280</f>
        <v>3000</v>
      </c>
      <c r="D72" s="877" t="s">
        <v>469</v>
      </c>
      <c r="E72" s="869"/>
      <c r="F72" s="1928">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8">
        <f>'Expenditures 15-22'!K285</f>
        <v>0</v>
      </c>
      <c r="G73" s="866"/>
    </row>
    <row r="74" spans="1:8" x14ac:dyDescent="0.2">
      <c r="A74" s="870" t="s">
        <v>456</v>
      </c>
      <c r="B74" s="870" t="s">
        <v>2005</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2006</v>
      </c>
      <c r="E76" s="1789" t="s">
        <v>1015</v>
      </c>
      <c r="F76" s="1793">
        <f>SUM(F18:F74)</f>
        <v>1933426</v>
      </c>
      <c r="G76" s="866"/>
    </row>
    <row r="77" spans="1:8" s="894" customFormat="1" ht="12" customHeight="1" thickTop="1" thickBot="1" x14ac:dyDescent="0.25">
      <c r="A77" s="1794"/>
      <c r="B77" s="1791"/>
      <c r="C77" s="1787"/>
      <c r="D77" s="1792" t="s">
        <v>2007</v>
      </c>
      <c r="E77" s="1789"/>
      <c r="F77" s="1795">
        <f>(F14-F76)</f>
        <v>10405444</v>
      </c>
      <c r="G77" s="870"/>
    </row>
    <row r="78" spans="1:8" s="894" customFormat="1" ht="12" customHeight="1" thickTop="1" x14ac:dyDescent="0.2">
      <c r="A78" s="1796"/>
      <c r="B78" s="1791"/>
      <c r="C78" s="1787"/>
      <c r="D78" s="1792" t="s">
        <v>2053</v>
      </c>
      <c r="E78" s="1789"/>
      <c r="F78" s="899">
        <v>0</v>
      </c>
      <c r="G78" s="900"/>
      <c r="H78" s="870"/>
    </row>
    <row r="79" spans="1:8" s="894" customFormat="1" ht="12" customHeight="1" thickBot="1" x14ac:dyDescent="0.25">
      <c r="A79" s="1797"/>
      <c r="B79" s="1791"/>
      <c r="C79" s="1787"/>
      <c r="D79" s="1792" t="s">
        <v>2008</v>
      </c>
      <c r="E79" s="1789" t="s">
        <v>1015</v>
      </c>
      <c r="F79" s="1798"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06" t="s">
        <v>1167</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4">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15523</v>
      </c>
      <c r="G94" s="913"/>
    </row>
    <row r="95" spans="1:7" x14ac:dyDescent="0.2">
      <c r="A95" s="909" t="s">
        <v>142</v>
      </c>
      <c r="B95" s="909" t="s">
        <v>177</v>
      </c>
      <c r="C95" s="911">
        <v>1700</v>
      </c>
      <c r="D95" s="919" t="str">
        <f>'Revenues 9-14'!A82</f>
        <v>Total District/School Activity Income</v>
      </c>
      <c r="E95" s="907"/>
      <c r="F95" s="1804">
        <f>SUM('Revenues 9-14'!C82,'Revenues 9-14'!D82)</f>
        <v>0</v>
      </c>
      <c r="G95" s="913"/>
    </row>
    <row r="96" spans="1:7" x14ac:dyDescent="0.2">
      <c r="A96" s="909" t="s">
        <v>479</v>
      </c>
      <c r="B96" s="909" t="s">
        <v>178</v>
      </c>
      <c r="C96" s="911">
        <f>'Revenues 9-14'!B84</f>
        <v>1811</v>
      </c>
      <c r="D96" s="912" t="str">
        <f>'Revenues 9-14'!A84</f>
        <v>Rentals - Regular Textbooks</v>
      </c>
      <c r="E96" s="907"/>
      <c r="F96" s="1804">
        <f>'Revenues 9-14'!C84</f>
        <v>0</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0</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0</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3400</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4">
        <f>('Revenues 9-14'!C106)</f>
        <v>0</v>
      </c>
      <c r="G104" s="913"/>
    </row>
    <row r="105" spans="1:7" x14ac:dyDescent="0.2">
      <c r="A105" s="909" t="s">
        <v>524</v>
      </c>
      <c r="B105" s="909" t="s">
        <v>842</v>
      </c>
      <c r="C105" s="914">
        <v>3100</v>
      </c>
      <c r="D105" s="920" t="str">
        <f>'Revenues 9-14'!A131</f>
        <v>Total Special Education</v>
      </c>
      <c r="E105" s="907"/>
      <c r="F105" s="1804">
        <f>SUM('Revenues 9-14'!C131:D131,'Revenues 9-14'!F131)</f>
        <v>581929</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0</v>
      </c>
      <c r="G106" s="913"/>
    </row>
    <row r="107" spans="1:7" x14ac:dyDescent="0.2">
      <c r="A107" s="922" t="s">
        <v>685</v>
      </c>
      <c r="B107" s="909" t="s">
        <v>843</v>
      </c>
      <c r="C107" s="921">
        <v>3300</v>
      </c>
      <c r="D107" s="912" t="str">
        <f>'Revenues 9-14'!A144</f>
        <v>Total Bilingual Ed</v>
      </c>
      <c r="E107" s="907"/>
      <c r="F107" s="180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4">
        <f>'Revenues 9-14'!C145</f>
        <v>4346</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0</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49222</v>
      </c>
      <c r="G111" s="913"/>
    </row>
    <row r="112" spans="1:7" x14ac:dyDescent="0.2">
      <c r="A112" s="909" t="s">
        <v>479</v>
      </c>
      <c r="B112" s="909" t="s">
        <v>847</v>
      </c>
      <c r="C112" s="921">
        <f>'Revenues 9-14'!B155</f>
        <v>3610</v>
      </c>
      <c r="D112" s="912" t="str">
        <f>'Revenues 9-14'!A155</f>
        <v>Learning Improvement - Change Grants</v>
      </c>
      <c r="E112" s="907"/>
      <c r="F112" s="1804">
        <f>'Revenues 9-14'!C155</f>
        <v>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272807</v>
      </c>
      <c r="G129" s="931"/>
    </row>
    <row r="130" spans="1:7" x14ac:dyDescent="0.2">
      <c r="A130" s="928" t="s">
        <v>689</v>
      </c>
      <c r="B130" s="928" t="s">
        <v>804</v>
      </c>
      <c r="C130" s="933">
        <v>4300</v>
      </c>
      <c r="D130" s="934" t="str">
        <f>'Revenues 9-14'!A211</f>
        <v>Total Title I</v>
      </c>
      <c r="E130" s="907"/>
      <c r="F130" s="1804">
        <f>SUM('Revenues 9-14'!C211,'Revenues 9-14'!D211,'Revenues 9-14'!F211,'Revenues 9-14'!G211)</f>
        <v>0</v>
      </c>
      <c r="G130" s="931"/>
    </row>
    <row r="131" spans="1:7" x14ac:dyDescent="0.2">
      <c r="A131" s="928" t="s">
        <v>689</v>
      </c>
      <c r="B131" s="928" t="s">
        <v>805</v>
      </c>
      <c r="C131" s="933">
        <v>4400</v>
      </c>
      <c r="D131" s="934" t="str">
        <f>'Revenues 9-14'!A216</f>
        <v>Total Title IV</v>
      </c>
      <c r="E131" s="907"/>
      <c r="F131" s="1804">
        <f>SUM('Revenues 9-14'!C216,'Revenues 9-14'!D216,'Revenues 9-14'!F216,'Revenues 9-14'!G216)</f>
        <v>161738</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2694054</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172165</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1837357</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5809</v>
      </c>
      <c r="G174" s="928"/>
    </row>
    <row r="175" spans="1:7" x14ac:dyDescent="0.2">
      <c r="A175" s="1933" t="s">
        <v>5</v>
      </c>
      <c r="B175" s="1934" t="s">
        <v>2052</v>
      </c>
      <c r="C175" s="1935">
        <v>3100</v>
      </c>
      <c r="D175" s="1936" t="s">
        <v>2055</v>
      </c>
      <c r="E175" s="907"/>
      <c r="F175" s="1920"/>
      <c r="G175" s="928"/>
    </row>
    <row r="176" spans="1:7" x14ac:dyDescent="0.2">
      <c r="A176" s="1933" t="s">
        <v>685</v>
      </c>
      <c r="B176" s="1934" t="s">
        <v>2052</v>
      </c>
      <c r="C176" s="1935">
        <v>3300</v>
      </c>
      <c r="D176" s="1936" t="s">
        <v>2056</v>
      </c>
      <c r="E176" s="907"/>
      <c r="F176" s="1920"/>
      <c r="G176" s="928"/>
    </row>
    <row r="177" spans="1:7" ht="6" customHeight="1" x14ac:dyDescent="0.2">
      <c r="A177" s="928"/>
      <c r="B177" s="928"/>
      <c r="C177" s="950"/>
      <c r="D177" s="928"/>
      <c r="E177" s="907"/>
      <c r="F177" s="951"/>
      <c r="G177" s="948"/>
    </row>
    <row r="178" spans="1:7" x14ac:dyDescent="0.2">
      <c r="A178" s="1785"/>
      <c r="B178" s="1799"/>
      <c r="C178" s="1800"/>
      <c r="D178" s="1801" t="s">
        <v>2009</v>
      </c>
      <c r="E178" s="1802" t="s">
        <v>1015</v>
      </c>
      <c r="F178" s="1803">
        <f>SUM(F84:F136,F161:F176)</f>
        <v>5798350</v>
      </c>
    </row>
    <row r="179" spans="1:7" ht="12" customHeight="1" x14ac:dyDescent="0.2">
      <c r="A179" s="1785"/>
      <c r="B179" s="1799"/>
      <c r="C179" s="1800"/>
      <c r="D179" s="1801" t="s">
        <v>2010</v>
      </c>
      <c r="E179" s="1802"/>
      <c r="F179" s="1804">
        <f>'PCTC-OEPP 27-28'!F77-F178</f>
        <v>4607094</v>
      </c>
    </row>
    <row r="180" spans="1:7" ht="12" customHeight="1" x14ac:dyDescent="0.2">
      <c r="A180" s="1785"/>
      <c r="B180" s="1799"/>
      <c r="C180" s="1800"/>
      <c r="D180" s="1801" t="s">
        <v>1920</v>
      </c>
      <c r="E180" s="1802"/>
      <c r="F180" s="1804">
        <f>'Cap Outlay Deprec 26'!I18</f>
        <v>0</v>
      </c>
    </row>
    <row r="181" spans="1:7" ht="12" customHeight="1" x14ac:dyDescent="0.2">
      <c r="A181" s="1785"/>
      <c r="B181" s="1799"/>
      <c r="C181" s="1800"/>
      <c r="D181" s="1801" t="s">
        <v>2011</v>
      </c>
      <c r="E181" s="1802"/>
      <c r="F181" s="1804">
        <f>F179+F180</f>
        <v>4607094</v>
      </c>
    </row>
    <row r="182" spans="1:7" ht="12" customHeight="1" x14ac:dyDescent="0.2">
      <c r="A182" s="1785"/>
      <c r="B182" s="1805"/>
      <c r="C182" s="1800"/>
      <c r="D182" s="1801" t="str">
        <f>D78</f>
        <v>9 Month ADA from District Average Daily Attendance/Prior General State Aid Inquiry 2017-2018</v>
      </c>
      <c r="E182" s="1802"/>
      <c r="F182" s="1806">
        <f>'PCTC-OEPP 27-28'!F78</f>
        <v>0</v>
      </c>
      <c r="G182" s="931"/>
    </row>
    <row r="183" spans="1:7" ht="12" customHeight="1" thickBot="1" x14ac:dyDescent="0.25">
      <c r="A183" s="1785"/>
      <c r="B183" s="1805"/>
      <c r="C183" s="1800"/>
      <c r="D183" s="1801" t="s">
        <v>2012</v>
      </c>
      <c r="E183" s="1802" t="s">
        <v>1626</v>
      </c>
      <c r="F183" s="1807"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7" customFormat="1" ht="12.2" customHeight="1" x14ac:dyDescent="0.2">
      <c r="A186" s="1937" t="s">
        <v>2059</v>
      </c>
      <c r="B186" s="1938"/>
      <c r="C186" s="1939"/>
      <c r="D186" s="1938"/>
      <c r="E186" s="1939"/>
      <c r="F186" s="1938"/>
      <c r="G186" s="1938"/>
    </row>
    <row r="187" spans="1:7" s="1937" customFormat="1" ht="12.2" customHeight="1" x14ac:dyDescent="0.2">
      <c r="A187" s="1940" t="s">
        <v>2060</v>
      </c>
      <c r="C187" s="1939"/>
      <c r="D187" s="1938"/>
      <c r="E187" s="1939"/>
      <c r="F187" s="1938"/>
      <c r="G187" s="1938"/>
    </row>
    <row r="188" spans="1:7" ht="12" customHeight="1" x14ac:dyDescent="0.2">
      <c r="C188" s="950"/>
      <c r="D188" s="931"/>
      <c r="E188" s="950"/>
      <c r="F188" s="931"/>
      <c r="G188" s="931"/>
    </row>
    <row r="189" spans="1:7" x14ac:dyDescent="0.2">
      <c r="A189" s="1941" t="s">
        <v>2058</v>
      </c>
      <c r="B189" s="1942"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workbookViewId="0">
      <pane ySplit="16" topLeftCell="A17" activePane="bottomLeft" state="frozen"/>
      <selection activeCell="H37" sqref="H37"/>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6" t="s">
        <v>1936</v>
      </c>
      <c r="B1" s="1677"/>
      <c r="C1" s="1677"/>
      <c r="D1" s="1677"/>
      <c r="E1" s="1677"/>
      <c r="F1" s="1677"/>
      <c r="G1" s="1677"/>
    </row>
    <row r="2" spans="1:7" ht="13.5" customHeight="1" x14ac:dyDescent="0.25">
      <c r="A2" s="1674"/>
      <c r="B2" s="1674"/>
      <c r="C2" s="1675" t="s">
        <v>1036</v>
      </c>
      <c r="D2" s="1674"/>
      <c r="E2" s="1674"/>
      <c r="F2" s="1674"/>
      <c r="G2" s="1674"/>
    </row>
    <row r="3" spans="1:7" ht="5.25" hidden="1" customHeight="1" x14ac:dyDescent="0.25">
      <c r="A3" s="1566"/>
      <c r="B3" s="1566"/>
      <c r="C3" s="1566"/>
      <c r="D3" s="1566"/>
      <c r="E3" s="1566"/>
      <c r="F3" s="1566"/>
      <c r="G3" s="1566"/>
    </row>
    <row r="4" spans="1:7" ht="17.25" customHeight="1" x14ac:dyDescent="0.25">
      <c r="A4" s="2320" t="s">
        <v>1921</v>
      </c>
      <c r="B4" s="2321"/>
      <c r="C4" s="2321"/>
      <c r="D4" s="2321"/>
      <c r="E4" s="2321"/>
      <c r="F4" s="2321"/>
      <c r="G4" s="2322"/>
    </row>
    <row r="5" spans="1:7" ht="3" hidden="1" customHeight="1" x14ac:dyDescent="0.25">
      <c r="A5" s="2323"/>
      <c r="B5" s="2324"/>
      <c r="C5" s="2324"/>
      <c r="D5" s="2324"/>
      <c r="E5" s="2324"/>
      <c r="F5" s="2324"/>
      <c r="G5" s="2325"/>
    </row>
    <row r="6" spans="1:7" ht="18.75" x14ac:dyDescent="0.25">
      <c r="A6" s="1555" t="s">
        <v>1922</v>
      </c>
      <c r="B6" s="1556"/>
      <c r="C6" s="1556"/>
      <c r="D6" s="1556"/>
      <c r="E6" s="1556"/>
      <c r="F6" s="1556"/>
      <c r="G6" s="1557"/>
    </row>
    <row r="7" spans="1:7" ht="30.75" customHeight="1" x14ac:dyDescent="0.25">
      <c r="A7" s="2326" t="s">
        <v>2069</v>
      </c>
      <c r="B7" s="2327"/>
      <c r="C7" s="2327"/>
      <c r="D7" s="2327"/>
      <c r="E7" s="2327"/>
      <c r="F7" s="2327"/>
      <c r="G7" s="2328"/>
    </row>
    <row r="8" spans="1:7" ht="15.75" customHeight="1" x14ac:dyDescent="0.25">
      <c r="A8" s="2329" t="s">
        <v>2018</v>
      </c>
      <c r="B8" s="2330"/>
      <c r="C8" s="2330"/>
      <c r="D8" s="2330"/>
      <c r="E8" s="2330"/>
      <c r="F8" s="2330"/>
      <c r="G8" s="2331"/>
    </row>
    <row r="9" spans="1:7" ht="35.25" customHeight="1" x14ac:dyDescent="0.25">
      <c r="A9" s="2326" t="s">
        <v>2072</v>
      </c>
      <c r="B9" s="2327"/>
      <c r="C9" s="2327"/>
      <c r="D9" s="2327"/>
      <c r="E9" s="2327"/>
      <c r="F9" s="2327"/>
      <c r="G9" s="2328"/>
    </row>
    <row r="10" spans="1:7" ht="15" customHeight="1" x14ac:dyDescent="0.25">
      <c r="A10" s="1558" t="s">
        <v>1923</v>
      </c>
      <c r="B10" s="1559"/>
      <c r="C10" s="1559"/>
      <c r="D10" s="1559"/>
      <c r="E10" s="1559"/>
      <c r="F10" s="1559"/>
      <c r="G10" s="1560"/>
    </row>
    <row r="11" spans="1:7" ht="17.25" customHeight="1" x14ac:dyDescent="0.25">
      <c r="A11" s="2326" t="s">
        <v>2071</v>
      </c>
      <c r="B11" s="2327"/>
      <c r="C11" s="2327"/>
      <c r="D11" s="2327"/>
      <c r="E11" s="2327"/>
      <c r="F11" s="2327"/>
      <c r="G11" s="2328"/>
    </row>
    <row r="12" spans="1:7" ht="15" customHeight="1" x14ac:dyDescent="0.25">
      <c r="A12" s="1558" t="s">
        <v>1928</v>
      </c>
      <c r="B12" s="1559"/>
      <c r="C12" s="1559"/>
      <c r="D12" s="1559"/>
      <c r="E12" s="1559"/>
      <c r="F12" s="1559"/>
      <c r="G12" s="1560"/>
    </row>
    <row r="13" spans="1:7" ht="32.25" customHeight="1" x14ac:dyDescent="0.25">
      <c r="A13" s="2317" t="s">
        <v>1929</v>
      </c>
      <c r="B13" s="2318"/>
      <c r="C13" s="2318"/>
      <c r="D13" s="2318"/>
      <c r="E13" s="2318"/>
      <c r="F13" s="2318"/>
      <c r="G13" s="2319"/>
    </row>
    <row r="14" spans="1:7" x14ac:dyDescent="0.25">
      <c r="A14" s="1678" t="s">
        <v>1937</v>
      </c>
      <c r="B14" s="1679"/>
      <c r="C14" s="1679"/>
      <c r="D14" s="1679"/>
      <c r="E14" s="1679"/>
      <c r="F14" s="1679"/>
      <c r="G14" s="1680"/>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1938</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80" t="s">
        <v>2188</v>
      </c>
      <c r="B17" s="1981" t="s">
        <v>2189</v>
      </c>
      <c r="C17" s="1982" t="s">
        <v>2190</v>
      </c>
      <c r="D17" s="1983">
        <v>27411.95</v>
      </c>
      <c r="E17" s="1561">
        <f t="shared" ref="E17:E41" si="1">IF(D17&lt;=25000,D17,IF(D17&gt;25000,25000,0))</f>
        <v>25000</v>
      </c>
      <c r="F17" s="1808">
        <f t="shared" si="0"/>
        <v>25000</v>
      </c>
      <c r="G17" s="1809">
        <f>IF(F17=0,0,D17-F17)</f>
        <v>2411.9500000000007</v>
      </c>
      <c r="H17" s="1668"/>
    </row>
    <row r="18" spans="1:8" x14ac:dyDescent="0.25">
      <c r="A18" s="1980" t="s">
        <v>2191</v>
      </c>
      <c r="B18" s="1981" t="s">
        <v>2204</v>
      </c>
      <c r="C18" s="1982" t="s">
        <v>2193</v>
      </c>
      <c r="D18" s="1983">
        <v>66500</v>
      </c>
      <c r="E18" s="1561">
        <f t="shared" ref="E18:E40" si="2">IF(D18&lt;=25000,D18,IF(D18&gt;25000,25000,0))</f>
        <v>25000</v>
      </c>
      <c r="F18" s="1808">
        <f t="shared" ref="F18:F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40" si="4">IF(F18=0,0,D18-F18)</f>
        <v>0</v>
      </c>
    </row>
    <row r="19" spans="1:8" x14ac:dyDescent="0.25">
      <c r="A19" s="1980" t="s">
        <v>2191</v>
      </c>
      <c r="B19" s="1981" t="s">
        <v>2192</v>
      </c>
      <c r="C19" s="1982" t="s">
        <v>2194</v>
      </c>
      <c r="D19" s="1983">
        <v>200000</v>
      </c>
      <c r="E19" s="1561">
        <f t="shared" si="2"/>
        <v>25000</v>
      </c>
      <c r="F19" s="1808">
        <f t="shared" si="3"/>
        <v>0</v>
      </c>
      <c r="G19" s="1809">
        <f t="shared" si="4"/>
        <v>0</v>
      </c>
    </row>
    <row r="20" spans="1:8" x14ac:dyDescent="0.25">
      <c r="A20" s="1980" t="s">
        <v>2195</v>
      </c>
      <c r="B20" s="1981" t="s">
        <v>2196</v>
      </c>
      <c r="C20" s="1982" t="s">
        <v>2197</v>
      </c>
      <c r="D20" s="1983">
        <v>28569</v>
      </c>
      <c r="E20" s="1561">
        <f t="shared" si="2"/>
        <v>25000</v>
      </c>
      <c r="F20" s="1808">
        <f t="shared" si="3"/>
        <v>25000</v>
      </c>
      <c r="G20" s="1809">
        <f t="shared" si="4"/>
        <v>3569</v>
      </c>
    </row>
    <row r="21" spans="1:8" ht="17.25" customHeight="1" x14ac:dyDescent="0.25">
      <c r="A21" s="1980" t="s">
        <v>2198</v>
      </c>
      <c r="B21" s="1981" t="s">
        <v>2229</v>
      </c>
      <c r="C21" s="1982" t="s">
        <v>2199</v>
      </c>
      <c r="D21" s="1983">
        <v>28424</v>
      </c>
      <c r="E21" s="1561">
        <f t="shared" si="2"/>
        <v>25000</v>
      </c>
      <c r="F21" s="1808">
        <f t="shared" si="3"/>
        <v>25000</v>
      </c>
      <c r="G21" s="1809">
        <f t="shared" si="4"/>
        <v>3424</v>
      </c>
    </row>
    <row r="22" spans="1:8" x14ac:dyDescent="0.25">
      <c r="A22" s="1980" t="s">
        <v>2191</v>
      </c>
      <c r="B22" s="1981" t="s">
        <v>2192</v>
      </c>
      <c r="C22" s="1982" t="s">
        <v>2200</v>
      </c>
      <c r="D22" s="1983">
        <v>120000</v>
      </c>
      <c r="E22" s="1561">
        <f t="shared" si="2"/>
        <v>25000</v>
      </c>
      <c r="F22" s="1808">
        <f t="shared" si="3"/>
        <v>0</v>
      </c>
      <c r="G22" s="1809">
        <f t="shared" si="4"/>
        <v>0</v>
      </c>
    </row>
    <row r="23" spans="1:8" x14ac:dyDescent="0.25">
      <c r="A23" s="1980" t="s">
        <v>2201</v>
      </c>
      <c r="B23" s="1981" t="s">
        <v>2202</v>
      </c>
      <c r="C23" s="1982" t="s">
        <v>2200</v>
      </c>
      <c r="D23" s="1983">
        <v>172500</v>
      </c>
      <c r="E23" s="1561">
        <f t="shared" si="2"/>
        <v>25000</v>
      </c>
      <c r="F23" s="1808">
        <f t="shared" si="3"/>
        <v>0</v>
      </c>
      <c r="G23" s="1809">
        <f t="shared" si="4"/>
        <v>0</v>
      </c>
    </row>
    <row r="24" spans="1:8" x14ac:dyDescent="0.25">
      <c r="A24" s="1980" t="s">
        <v>2203</v>
      </c>
      <c r="B24" s="1981" t="s">
        <v>2204</v>
      </c>
      <c r="C24" s="1982" t="s">
        <v>2200</v>
      </c>
      <c r="D24" s="1983">
        <v>31249</v>
      </c>
      <c r="E24" s="1561">
        <f t="shared" si="2"/>
        <v>25000</v>
      </c>
      <c r="F24" s="1808">
        <f t="shared" si="3"/>
        <v>0</v>
      </c>
      <c r="G24" s="1809">
        <f t="shared" si="4"/>
        <v>0</v>
      </c>
    </row>
    <row r="25" spans="1:8" x14ac:dyDescent="0.25">
      <c r="A25" s="1980" t="s">
        <v>2195</v>
      </c>
      <c r="B25" s="1981" t="s">
        <v>2196</v>
      </c>
      <c r="C25" s="1982" t="s">
        <v>2200</v>
      </c>
      <c r="D25" s="1983">
        <v>88592</v>
      </c>
      <c r="E25" s="1561">
        <f t="shared" si="2"/>
        <v>25000</v>
      </c>
      <c r="F25" s="1808">
        <f t="shared" si="3"/>
        <v>25000</v>
      </c>
      <c r="G25" s="1809">
        <f t="shared" si="4"/>
        <v>63592</v>
      </c>
    </row>
    <row r="26" spans="1:8" x14ac:dyDescent="0.25">
      <c r="A26" s="1980" t="s">
        <v>2205</v>
      </c>
      <c r="B26" s="1981" t="s">
        <v>2206</v>
      </c>
      <c r="C26" s="1982" t="s">
        <v>2207</v>
      </c>
      <c r="D26" s="1983">
        <v>43838</v>
      </c>
      <c r="E26" s="1561">
        <f t="shared" si="2"/>
        <v>25000</v>
      </c>
      <c r="F26" s="1808">
        <f t="shared" si="3"/>
        <v>25000</v>
      </c>
      <c r="G26" s="1809">
        <f t="shared" si="4"/>
        <v>18838</v>
      </c>
    </row>
    <row r="27" spans="1:8" x14ac:dyDescent="0.25">
      <c r="A27" s="1980" t="s">
        <v>2188</v>
      </c>
      <c r="B27" s="1981" t="s">
        <v>2189</v>
      </c>
      <c r="C27" s="1982" t="s">
        <v>2208</v>
      </c>
      <c r="D27" s="1983">
        <v>45653</v>
      </c>
      <c r="E27" s="1561">
        <f t="shared" si="2"/>
        <v>25000</v>
      </c>
      <c r="F27" s="1808">
        <f t="shared" si="3"/>
        <v>25000</v>
      </c>
      <c r="G27" s="1809">
        <f t="shared" si="4"/>
        <v>20653</v>
      </c>
    </row>
    <row r="28" spans="1:8" x14ac:dyDescent="0.25">
      <c r="A28" s="1980" t="s">
        <v>2209</v>
      </c>
      <c r="B28" s="1981" t="s">
        <v>2189</v>
      </c>
      <c r="C28" s="1982" t="s">
        <v>2208</v>
      </c>
      <c r="D28" s="1983">
        <v>45654</v>
      </c>
      <c r="E28" s="1561">
        <f t="shared" si="2"/>
        <v>25000</v>
      </c>
      <c r="F28" s="1808">
        <f t="shared" si="3"/>
        <v>25000</v>
      </c>
      <c r="G28" s="1809">
        <f t="shared" si="4"/>
        <v>20654</v>
      </c>
    </row>
    <row r="29" spans="1:8" x14ac:dyDescent="0.25">
      <c r="A29" s="1980" t="s">
        <v>2210</v>
      </c>
      <c r="B29" s="1981" t="s">
        <v>2229</v>
      </c>
      <c r="C29" s="1982" t="s">
        <v>2211</v>
      </c>
      <c r="D29" s="1983">
        <v>35362</v>
      </c>
      <c r="E29" s="1561">
        <f t="shared" si="2"/>
        <v>25000</v>
      </c>
      <c r="F29" s="1808">
        <f t="shared" si="3"/>
        <v>25000</v>
      </c>
      <c r="G29" s="1809">
        <f t="shared" si="4"/>
        <v>10362</v>
      </c>
    </row>
    <row r="30" spans="1:8" x14ac:dyDescent="0.25">
      <c r="A30" s="1980" t="s">
        <v>2212</v>
      </c>
      <c r="B30" s="1981" t="s">
        <v>2213</v>
      </c>
      <c r="C30" s="1982" t="s">
        <v>2214</v>
      </c>
      <c r="D30" s="1983">
        <v>38668</v>
      </c>
      <c r="E30" s="1561">
        <f t="shared" si="2"/>
        <v>25000</v>
      </c>
      <c r="F30" s="1808">
        <f t="shared" si="3"/>
        <v>25000</v>
      </c>
      <c r="G30" s="1809">
        <f t="shared" si="4"/>
        <v>13668</v>
      </c>
    </row>
    <row r="31" spans="1:8" x14ac:dyDescent="0.25">
      <c r="A31" s="1980" t="s">
        <v>2195</v>
      </c>
      <c r="B31" s="1981" t="s">
        <v>2196</v>
      </c>
      <c r="C31" s="1982" t="s">
        <v>2215</v>
      </c>
      <c r="D31" s="1983">
        <v>31669</v>
      </c>
      <c r="E31" s="1561">
        <f t="shared" si="2"/>
        <v>25000</v>
      </c>
      <c r="F31" s="1808">
        <f t="shared" si="3"/>
        <v>25000</v>
      </c>
      <c r="G31" s="1809">
        <f t="shared" si="4"/>
        <v>6669</v>
      </c>
    </row>
    <row r="32" spans="1:8" x14ac:dyDescent="0.25">
      <c r="A32" s="1980" t="s">
        <v>2201</v>
      </c>
      <c r="B32" s="1981" t="s">
        <v>2202</v>
      </c>
      <c r="C32" s="1982" t="s">
        <v>2215</v>
      </c>
      <c r="D32" s="1983">
        <v>55833</v>
      </c>
      <c r="E32" s="1561">
        <f t="shared" si="2"/>
        <v>25000</v>
      </c>
      <c r="F32" s="1808">
        <f t="shared" si="3"/>
        <v>0</v>
      </c>
      <c r="G32" s="1809">
        <f t="shared" si="4"/>
        <v>0</v>
      </c>
    </row>
    <row r="33" spans="1:7" x14ac:dyDescent="0.25">
      <c r="A33" s="1980" t="s">
        <v>2212</v>
      </c>
      <c r="B33" s="1981" t="s">
        <v>2213</v>
      </c>
      <c r="C33" s="1982" t="s">
        <v>2216</v>
      </c>
      <c r="D33" s="1983">
        <v>133408</v>
      </c>
      <c r="E33" s="1561">
        <f t="shared" si="2"/>
        <v>25000</v>
      </c>
      <c r="F33" s="1808">
        <f t="shared" si="3"/>
        <v>25000</v>
      </c>
      <c r="G33" s="1809">
        <f t="shared" si="4"/>
        <v>108408</v>
      </c>
    </row>
    <row r="34" spans="1:7" x14ac:dyDescent="0.25">
      <c r="A34" s="1980" t="s">
        <v>2191</v>
      </c>
      <c r="B34" s="1981" t="s">
        <v>2192</v>
      </c>
      <c r="C34" s="1982" t="s">
        <v>2217</v>
      </c>
      <c r="D34" s="1983">
        <v>215000</v>
      </c>
      <c r="E34" s="1561">
        <f t="shared" si="2"/>
        <v>25000</v>
      </c>
      <c r="F34" s="1808">
        <f t="shared" si="3"/>
        <v>0</v>
      </c>
      <c r="G34" s="1809">
        <f t="shared" si="4"/>
        <v>0</v>
      </c>
    </row>
    <row r="35" spans="1:7" x14ac:dyDescent="0.25">
      <c r="A35" s="1980" t="s">
        <v>2201</v>
      </c>
      <c r="B35" s="1981" t="s">
        <v>2202</v>
      </c>
      <c r="C35" s="1982" t="s">
        <v>2217</v>
      </c>
      <c r="D35" s="1983">
        <v>80000</v>
      </c>
      <c r="E35" s="1561">
        <f t="shared" si="2"/>
        <v>25000</v>
      </c>
      <c r="F35" s="1808">
        <f t="shared" si="3"/>
        <v>0</v>
      </c>
      <c r="G35" s="1809">
        <f t="shared" si="4"/>
        <v>0</v>
      </c>
    </row>
    <row r="36" spans="1:7" x14ac:dyDescent="0.25">
      <c r="A36" s="1980" t="s">
        <v>2203</v>
      </c>
      <c r="B36" s="1981" t="s">
        <v>2204</v>
      </c>
      <c r="C36" s="1982" t="s">
        <v>2217</v>
      </c>
      <c r="D36" s="1983">
        <v>30688</v>
      </c>
      <c r="E36" s="1561">
        <f t="shared" si="2"/>
        <v>25000</v>
      </c>
      <c r="F36" s="1808">
        <f t="shared" si="3"/>
        <v>0</v>
      </c>
      <c r="G36" s="1809">
        <f t="shared" si="4"/>
        <v>0</v>
      </c>
    </row>
    <row r="37" spans="1:7" x14ac:dyDescent="0.25">
      <c r="A37" s="1980" t="s">
        <v>2195</v>
      </c>
      <c r="B37" s="1981" t="s">
        <v>2196</v>
      </c>
      <c r="C37" s="1982" t="s">
        <v>2217</v>
      </c>
      <c r="D37" s="1983">
        <v>39079</v>
      </c>
      <c r="E37" s="1561">
        <f t="shared" si="2"/>
        <v>25000</v>
      </c>
      <c r="F37" s="1808">
        <f t="shared" si="3"/>
        <v>25000</v>
      </c>
      <c r="G37" s="1809">
        <f t="shared" si="4"/>
        <v>14079</v>
      </c>
    </row>
    <row r="38" spans="1:7" x14ac:dyDescent="0.25">
      <c r="A38" s="1980" t="s">
        <v>2218</v>
      </c>
      <c r="B38" s="1984" t="s">
        <v>1927</v>
      </c>
      <c r="C38" s="1982" t="s">
        <v>2217</v>
      </c>
      <c r="D38" s="1983">
        <v>263803</v>
      </c>
      <c r="E38" s="1561">
        <f t="shared" si="2"/>
        <v>25000</v>
      </c>
      <c r="F38" s="1808">
        <f t="shared" si="3"/>
        <v>25000</v>
      </c>
      <c r="G38" s="1809">
        <f t="shared" si="4"/>
        <v>238803</v>
      </c>
    </row>
    <row r="39" spans="1:7" x14ac:dyDescent="0.25">
      <c r="A39" s="1980" t="s">
        <v>2201</v>
      </c>
      <c r="B39" s="1984" t="s">
        <v>2202</v>
      </c>
      <c r="C39" s="1982" t="s">
        <v>2219</v>
      </c>
      <c r="D39" s="1983">
        <v>25000</v>
      </c>
      <c r="E39" s="1561">
        <f t="shared" si="2"/>
        <v>25000</v>
      </c>
      <c r="F39" s="1808">
        <f t="shared" si="3"/>
        <v>0</v>
      </c>
      <c r="G39" s="1809">
        <f t="shared" si="4"/>
        <v>0</v>
      </c>
    </row>
    <row r="40" spans="1:7" x14ac:dyDescent="0.25">
      <c r="A40" s="1980" t="s">
        <v>2220</v>
      </c>
      <c r="B40" s="1984" t="s">
        <v>2229</v>
      </c>
      <c r="C40" s="1982" t="s">
        <v>2221</v>
      </c>
      <c r="D40" s="1983">
        <v>46757</v>
      </c>
      <c r="E40" s="1561">
        <f t="shared" si="2"/>
        <v>25000</v>
      </c>
      <c r="F40" s="1808">
        <f t="shared" si="3"/>
        <v>25000</v>
      </c>
      <c r="G40" s="1809">
        <f t="shared" si="4"/>
        <v>21757</v>
      </c>
    </row>
    <row r="41" spans="1:7" x14ac:dyDescent="0.25">
      <c r="A41" s="1812" t="s">
        <v>158</v>
      </c>
      <c r="B41" s="1813"/>
      <c r="C41" s="1814"/>
      <c r="D41" s="1810">
        <f>SUM(D17:D40)</f>
        <v>1893657.95</v>
      </c>
      <c r="E41" s="1562">
        <f t="shared" si="1"/>
        <v>25000</v>
      </c>
      <c r="F41" s="1810">
        <f>SUM(F17:F40)</f>
        <v>350000</v>
      </c>
      <c r="G41" s="1811">
        <f>SUM(G17:G40)</f>
        <v>546887.94999999995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2" fitToHeight="0" orientation="landscape" useFirstPageNumber="1" r:id="rId1"/>
  <headerFooter>
    <oddHeader>&amp;LPage 22&amp;RPage 22</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H37" sqref="H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2" t="s">
        <v>1778</v>
      </c>
      <c r="B5" s="2333"/>
      <c r="C5" s="2333"/>
      <c r="D5" s="2333"/>
      <c r="E5" s="2333"/>
      <c r="F5" s="2333"/>
      <c r="G5" s="2334"/>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331774</v>
      </c>
      <c r="F10" s="975"/>
      <c r="G10" s="976"/>
      <c r="H10" s="162"/>
      <c r="I10" s="162"/>
    </row>
    <row r="11" spans="1:9" s="669" customFormat="1" ht="22.5" customHeight="1" x14ac:dyDescent="0.2">
      <c r="A11" s="2337" t="s">
        <v>1940</v>
      </c>
      <c r="B11" s="2338"/>
      <c r="C11" s="2338"/>
      <c r="D11" s="2339"/>
      <c r="E11" s="978">
        <v>8480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5"/>
      <c r="E19" s="1816">
        <f>'Expenditures 15-22'!K33-SUM('Expenditures 15-22'!G33,'Expenditures 15-22'!I33)+'Expenditures 15-22'!D229</f>
        <v>5760051</v>
      </c>
      <c r="F19" s="1815"/>
      <c r="G19" s="1817">
        <f>'Expenditures 15-22'!K33-SUM('Expenditures 15-22'!G33,'Expenditures 15-22'!I33)+'Expenditures 15-22'!D229</f>
        <v>5760051</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2116808</v>
      </c>
      <c r="F21" s="1818"/>
      <c r="G21" s="1821">
        <f>'Expenditures 15-22'!K42-SUM('Expenditures 15-22'!G42,'Expenditures 15-22'!I42)+'Expenditures 15-22'!K120-SUM('Expenditures 15-22'!G120,'Expenditures 15-22'!I120)+'Expenditures 15-22'!K180-SUM('Expenditures 15-22'!G180,'Expenditures 15-22'!I180)+'Expenditures 15-22'!D238</f>
        <v>2116808</v>
      </c>
      <c r="H21" s="988"/>
      <c r="I21" s="162"/>
    </row>
    <row r="22" spans="1:9" s="669" customFormat="1" ht="12" customHeight="1" x14ac:dyDescent="0.2">
      <c r="A22" s="995" t="s">
        <v>585</v>
      </c>
      <c r="B22" s="996"/>
      <c r="C22" s="994">
        <v>2200</v>
      </c>
      <c r="D22" s="1818"/>
      <c r="E22" s="1820">
        <f>'Expenditures 15-22'!K47-SUM('Expenditures 15-22'!G47,'Expenditures 15-22'!I47)+'Expenditures 15-22'!D243</f>
        <v>135765</v>
      </c>
      <c r="F22" s="1818"/>
      <c r="G22" s="1821">
        <f>'Expenditures 15-22'!K47-SUM('Expenditures 15-22'!G47,'Expenditures 15-22'!I47)+'Expenditures 15-22'!D243</f>
        <v>135765</v>
      </c>
      <c r="H22" s="988"/>
      <c r="I22" s="162"/>
    </row>
    <row r="23" spans="1:9" s="669" customFormat="1" ht="12" customHeight="1" x14ac:dyDescent="0.2">
      <c r="A23" s="995" t="s">
        <v>586</v>
      </c>
      <c r="B23" s="996"/>
      <c r="C23" s="994">
        <v>2300</v>
      </c>
      <c r="D23" s="1818"/>
      <c r="E23" s="1820">
        <f>'Expenditures 15-22'!K53-SUM('Expenditures 15-22'!G53,'Expenditures 15-22'!I53)+'Expenditures 15-22'!D257+'Expenditures 15-22'!K330-SUM('Expenditures 15-22'!G330,'Expenditures 15-22'!I330)</f>
        <v>1912107</v>
      </c>
      <c r="F23" s="1818"/>
      <c r="G23" s="1820">
        <f>'Expenditures 15-22'!K53-SUM('Expenditures 15-22'!G53,'Expenditures 15-22'!I53)+'Expenditures 15-22'!D257+'Expenditures 15-22'!K330-SUM('Expenditures 15-22'!G330,'Expenditures 15-22'!I330)</f>
        <v>1912107</v>
      </c>
      <c r="H23" s="988"/>
      <c r="I23" s="162"/>
    </row>
    <row r="24" spans="1:9" s="669" customFormat="1" ht="12" customHeight="1" x14ac:dyDescent="0.2">
      <c r="A24" s="995" t="s">
        <v>587</v>
      </c>
      <c r="B24" s="996"/>
      <c r="C24" s="994">
        <v>2400</v>
      </c>
      <c r="D24" s="1818"/>
      <c r="E24" s="1820">
        <f>'Expenditures 15-22'!K57-SUM('Expenditures 15-22'!G57,'Expenditures 15-22'!I57)+'Expenditures 15-22'!D261</f>
        <v>0</v>
      </c>
      <c r="F24" s="1818"/>
      <c r="G24" s="1821">
        <f>'Expenditures 15-22'!K57-SUM('Expenditures 15-22'!G57,'Expenditures 15-22'!I57)+'Expenditures 15-22'!D261</f>
        <v>0</v>
      </c>
      <c r="H24" s="988"/>
      <c r="I24" s="162"/>
    </row>
    <row r="25" spans="1:9" s="669" customFormat="1" ht="12" customHeight="1" x14ac:dyDescent="0.2">
      <c r="A25" s="991" t="s">
        <v>588</v>
      </c>
      <c r="B25" s="997"/>
      <c r="C25" s="994"/>
      <c r="D25" s="1818"/>
      <c r="E25" s="1820"/>
      <c r="F25" s="1818"/>
      <c r="G25" s="1821"/>
      <c r="H25" s="988"/>
      <c r="I25" s="162"/>
    </row>
    <row r="26" spans="1:9" s="669" customFormat="1" ht="12" customHeight="1" x14ac:dyDescent="0.2">
      <c r="A26" s="995" t="s">
        <v>536</v>
      </c>
      <c r="B26" s="998"/>
      <c r="C26" s="994">
        <v>2510</v>
      </c>
      <c r="D26" s="1820">
        <f>'Expenditures 15-22'!K59-SUM('Expenditures 15-22'!G59,'Expenditures 15-22'!I59)+'Expenditures 15-22'!D263-E7</f>
        <v>86308</v>
      </c>
      <c r="E26" s="1820">
        <f>'Expenditures 15-22'!K122-SUM('Expenditures 15-22'!G122,'Expenditures 15-22'!I122)+E7</f>
        <v>0</v>
      </c>
      <c r="F26" s="1820">
        <f>'Expenditures 15-22'!K59-SUM('Expenditures 15-22'!G59,'Expenditures 15-22'!I59)+'Expenditures 15-22'!D263-E7</f>
        <v>86308</v>
      </c>
      <c r="G26" s="1821">
        <f>'Expenditures 15-22'!K122-SUM('Expenditures 15-22'!G122,'Expenditures 15-22'!I122)+E7</f>
        <v>0</v>
      </c>
      <c r="H26" s="988"/>
      <c r="I26" s="162"/>
    </row>
    <row r="27" spans="1:9" s="669" customFormat="1" ht="12" customHeight="1" x14ac:dyDescent="0.2">
      <c r="A27" s="995" t="s">
        <v>483</v>
      </c>
      <c r="B27" s="998"/>
      <c r="C27" s="994">
        <v>2520</v>
      </c>
      <c r="D27" s="1820">
        <f>'Expenditures 15-22'!K60-SUM('Expenditures 15-22'!G60,'Expenditures 15-22'!I60)+'Expenditures 15-22'!D264-E8</f>
        <v>129138</v>
      </c>
      <c r="E27" s="1820">
        <f>E8</f>
        <v>0</v>
      </c>
      <c r="F27" s="1820">
        <f>'Expenditures 15-22'!K60-SUM('Expenditures 15-22'!G60,'Expenditures 15-22'!I60)+'Expenditures 15-22'!D264-E8</f>
        <v>129138</v>
      </c>
      <c r="G27" s="1821">
        <f>E8</f>
        <v>0</v>
      </c>
      <c r="H27" s="988"/>
      <c r="I27" s="162"/>
    </row>
    <row r="28" spans="1:9" s="669" customFormat="1" ht="12" customHeight="1" x14ac:dyDescent="0.2">
      <c r="A28" s="995" t="s">
        <v>537</v>
      </c>
      <c r="B28" s="998"/>
      <c r="C28" s="994">
        <v>2540</v>
      </c>
      <c r="D28" s="1822"/>
      <c r="E28" s="1820">
        <f>'Expenditures 15-22'!K61-SUM('Expenditures 15-22'!G61,'Expenditures 15-22'!I61)+'Expenditures 15-22'!K124-SUM('Expenditures 15-22'!G124,'Expenditures 15-22'!I124)+'Expenditures 15-22'!D266</f>
        <v>505081</v>
      </c>
      <c r="F28" s="1822">
        <f>'Expenditures 15-22'!K61-SUM('Expenditures 15-22'!G61,'Expenditures 15-22'!I61)+'Expenditures 15-22'!K124-SUM('Expenditures 15-22'!G124,'Expenditures 15-22'!I124)+'Expenditures 15-22'!D266-E9</f>
        <v>505081</v>
      </c>
      <c r="G28" s="1821">
        <f>E9</f>
        <v>0</v>
      </c>
      <c r="H28" s="988"/>
      <c r="I28" s="162"/>
    </row>
    <row r="29" spans="1:9" ht="12" customHeight="1" x14ac:dyDescent="0.2">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47952</v>
      </c>
      <c r="F29" s="1818"/>
      <c r="G29" s="1821">
        <f>'Expenditures 15-22'!K62-SUM('Expenditures 15-22'!G62,'Expenditures 15-22'!I62)+'Expenditures 15-22'!K125-SUM('Expenditures 15-22'!G125,'Expenditures 15-22'!I125)+'Expenditures 15-22'!K182-SUM('Expenditures 15-22'!G182,'Expenditures 15-22'!I182)+'Expenditures 15-22'!D267</f>
        <v>47952</v>
      </c>
      <c r="H29" s="986"/>
    </row>
    <row r="30" spans="1:9" ht="12" customHeight="1" x14ac:dyDescent="0.2">
      <c r="A30" s="995" t="s">
        <v>102</v>
      </c>
      <c r="B30" s="998"/>
      <c r="C30" s="994">
        <v>2560</v>
      </c>
      <c r="D30" s="1818"/>
      <c r="E30" s="1820">
        <f>'Expenditures 15-22'!K63-SUM('Expenditures 15-22'!G63,'Expenditures 15-22'!I63)+'Expenditures 15-22'!D268-E10</f>
        <v>51626</v>
      </c>
      <c r="F30" s="1818"/>
      <c r="G30" s="1820">
        <f>'Expenditures 15-22'!K63-SUM('Expenditures 15-22'!G63,'Expenditures 15-22'!I63)+'Expenditures 15-22'!D268-E10</f>
        <v>51626</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539</v>
      </c>
      <c r="B32" s="997"/>
      <c r="C32" s="994"/>
      <c r="D32" s="1818"/>
      <c r="E32" s="1818"/>
      <c r="F32" s="1818"/>
      <c r="G32" s="1818"/>
    </row>
    <row r="33" spans="1:7" ht="12" customHeight="1" x14ac:dyDescent="0.2">
      <c r="A33" s="995" t="s">
        <v>540</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1121</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423</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424</v>
      </c>
      <c r="B37" s="998"/>
      <c r="C37" s="994">
        <v>2660</v>
      </c>
      <c r="D37" s="1820">
        <f>'Expenditures 15-22'!K71-SUM('Expenditures 15-22'!G71,'Expenditures 15-22'!I71)+'Expenditures 15-22'!D276-E14</f>
        <v>104826</v>
      </c>
      <c r="E37" s="1820">
        <f>E14</f>
        <v>0</v>
      </c>
      <c r="F37" s="1820">
        <f>'Expenditures 15-22'!K71-SUM('Expenditures 15-22'!G71,'Expenditures 15-22'!I71)+'Expenditures 15-22'!D276-E14</f>
        <v>104826</v>
      </c>
      <c r="G37" s="1820">
        <f>E14</f>
        <v>0</v>
      </c>
    </row>
    <row r="38" spans="1:7" ht="12" customHeight="1" x14ac:dyDescent="0.2">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0</v>
      </c>
      <c r="F39" s="1818"/>
      <c r="G39" s="182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18"/>
      <c r="E40" s="1822">
        <f>-'Contracts Paid in CY 29'!G41</f>
        <v>-546887.94999999995</v>
      </c>
      <c r="F40" s="1818"/>
      <c r="G40" s="1822">
        <f>-'Contracts Paid in CY 29'!G41</f>
        <v>-546887.94999999995</v>
      </c>
    </row>
    <row r="41" spans="1:7" ht="12" customHeight="1" x14ac:dyDescent="0.2">
      <c r="A41" s="999" t="s">
        <v>158</v>
      </c>
      <c r="B41" s="1000"/>
      <c r="C41" s="1001"/>
      <c r="D41" s="1822">
        <f>SUM(D19:D39)</f>
        <v>320272</v>
      </c>
      <c r="E41" s="1822">
        <f>SUM(E19:E40)</f>
        <v>9982502.0500000007</v>
      </c>
      <c r="F41" s="1822">
        <f>SUM(F19:F39)</f>
        <v>825353</v>
      </c>
      <c r="G41" s="1822">
        <f>SUM(G19:G40)</f>
        <v>9477421.0500000007</v>
      </c>
    </row>
    <row r="42" spans="1:7" x14ac:dyDescent="0.2">
      <c r="A42" s="988"/>
      <c r="B42" s="162"/>
      <c r="C42" s="1002"/>
      <c r="D42" s="2335" t="s">
        <v>543</v>
      </c>
      <c r="E42" s="2336"/>
      <c r="F42" s="1003" t="s">
        <v>544</v>
      </c>
      <c r="G42" s="1004"/>
    </row>
    <row r="43" spans="1:7" ht="12" customHeight="1" x14ac:dyDescent="0.2">
      <c r="A43" s="988"/>
      <c r="B43" s="162"/>
      <c r="C43" s="1002"/>
      <c r="D43" s="1823" t="s">
        <v>493</v>
      </c>
      <c r="E43" s="1824">
        <f>D41</f>
        <v>320272</v>
      </c>
      <c r="F43" s="1823" t="s">
        <v>495</v>
      </c>
      <c r="G43" s="1824">
        <f>F41</f>
        <v>825353</v>
      </c>
    </row>
    <row r="44" spans="1:7" ht="12" customHeight="1" x14ac:dyDescent="0.2">
      <c r="A44" s="988"/>
      <c r="B44" s="162"/>
      <c r="C44" s="1002"/>
      <c r="D44" s="1823" t="s">
        <v>494</v>
      </c>
      <c r="E44" s="1824">
        <f>E41</f>
        <v>9982502.0500000007</v>
      </c>
      <c r="F44" s="1823" t="s">
        <v>494</v>
      </c>
      <c r="G44" s="1824">
        <f>G41</f>
        <v>9477421.0500000007</v>
      </c>
    </row>
    <row r="45" spans="1:7" ht="12" customHeight="1" x14ac:dyDescent="0.2">
      <c r="A45" s="988"/>
      <c r="B45" s="162"/>
      <c r="C45" s="162"/>
      <c r="D45" s="1825" t="s">
        <v>1063</v>
      </c>
      <c r="E45" s="1826">
        <f>(E43/E44)</f>
        <v>3.2083339266632052E-2</v>
      </c>
      <c r="F45" s="1825" t="s">
        <v>1063</v>
      </c>
      <c r="G45" s="1826">
        <f>(G43/G44)</f>
        <v>8.7086243783587092E-2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23"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37" sqref="H37"/>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43" t="s">
        <v>1446</v>
      </c>
      <c r="B1" s="2343"/>
      <c r="C1" s="2343"/>
      <c r="D1" s="2343"/>
      <c r="E1" s="2343"/>
      <c r="F1" s="2343"/>
    </row>
    <row r="2" spans="1:10" x14ac:dyDescent="0.2">
      <c r="A2" s="1901" t="s">
        <v>2042</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44" t="s">
        <v>1627</v>
      </c>
      <c r="B5" s="2345"/>
      <c r="C5" s="2346"/>
      <c r="D5" s="2346"/>
      <c r="E5" s="2346"/>
      <c r="F5" s="2346"/>
    </row>
    <row r="6" spans="1:10" ht="12" customHeight="1" x14ac:dyDescent="0.25">
      <c r="A6" s="1864"/>
      <c r="B6" s="1865"/>
      <c r="C6" s="2347" t="str">
        <f>COVER!A17</f>
        <v>Tri-County SpEd Joint Agreement</v>
      </c>
      <c r="D6" s="2347"/>
      <c r="E6" s="2347"/>
      <c r="F6" s="1866"/>
    </row>
    <row r="7" spans="1:10" ht="11.25" customHeight="1" thickBot="1" x14ac:dyDescent="0.3">
      <c r="A7" s="1864"/>
      <c r="B7" s="1865"/>
      <c r="C7" s="2348">
        <f>COVER!A13</f>
        <v>30039186061</v>
      </c>
      <c r="D7" s="2348"/>
      <c r="E7" s="2348"/>
      <c r="F7" s="1866"/>
    </row>
    <row r="8" spans="1:10" ht="25.5" customHeight="1" thickBot="1" x14ac:dyDescent="0.25">
      <c r="A8" s="1907" t="s">
        <v>2019</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c r="D14" s="1879"/>
      <c r="E14" s="1882"/>
      <c r="F14" s="1881"/>
      <c r="H14" s="1892">
        <f t="shared" si="0"/>
        <v>0</v>
      </c>
      <c r="I14" s="1892">
        <f t="shared" si="1"/>
        <v>0</v>
      </c>
      <c r="J14" s="1892">
        <f t="shared" si="2"/>
        <v>0</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946" t="s">
        <v>2073</v>
      </c>
      <c r="D16" s="1946" t="s">
        <v>2073</v>
      </c>
      <c r="E16" s="1947"/>
      <c r="F16" s="1948" t="s">
        <v>2093</v>
      </c>
      <c r="H16" s="1892">
        <f t="shared" si="0"/>
        <v>5</v>
      </c>
      <c r="I16" s="1892">
        <f t="shared" si="1"/>
        <v>5</v>
      </c>
      <c r="J16" s="1892">
        <f t="shared" si="2"/>
        <v>0</v>
      </c>
    </row>
    <row r="17" spans="1:12" ht="12" customHeight="1" x14ac:dyDescent="0.2">
      <c r="A17" s="1877" t="s">
        <v>1456</v>
      </c>
      <c r="B17" s="1878"/>
      <c r="C17" s="1946"/>
      <c r="D17" s="1946"/>
      <c r="E17" s="1947"/>
      <c r="F17" s="1948"/>
      <c r="H17" s="1892">
        <f t="shared" si="0"/>
        <v>0</v>
      </c>
      <c r="I17" s="1892">
        <f t="shared" si="1"/>
        <v>0</v>
      </c>
      <c r="J17" s="1892">
        <f t="shared" si="2"/>
        <v>0</v>
      </c>
    </row>
    <row r="18" spans="1:12" ht="12" customHeight="1" x14ac:dyDescent="0.2">
      <c r="A18" s="1877" t="s">
        <v>1457</v>
      </c>
      <c r="B18" s="1878"/>
      <c r="C18" s="1946"/>
      <c r="D18" s="1946"/>
      <c r="E18" s="1947"/>
      <c r="F18" s="1948"/>
      <c r="H18" s="1892">
        <f t="shared" si="0"/>
        <v>0</v>
      </c>
      <c r="I18" s="1892">
        <f t="shared" si="1"/>
        <v>0</v>
      </c>
      <c r="J18" s="1892">
        <f t="shared" si="2"/>
        <v>0</v>
      </c>
    </row>
    <row r="19" spans="1:12" ht="12" customHeight="1" x14ac:dyDescent="0.2">
      <c r="A19" s="1877" t="s">
        <v>1608</v>
      </c>
      <c r="B19" s="1878"/>
      <c r="C19" s="1946"/>
      <c r="D19" s="1946"/>
      <c r="E19" s="1947"/>
      <c r="F19" s="1948"/>
      <c r="H19" s="1892">
        <f t="shared" si="0"/>
        <v>0</v>
      </c>
      <c r="I19" s="1892">
        <f t="shared" si="1"/>
        <v>0</v>
      </c>
      <c r="J19" s="1892">
        <f t="shared" si="2"/>
        <v>0</v>
      </c>
    </row>
    <row r="20" spans="1:12" ht="12" customHeight="1" x14ac:dyDescent="0.2">
      <c r="A20" s="1877" t="s">
        <v>1609</v>
      </c>
      <c r="B20" s="1878"/>
      <c r="C20" s="1946"/>
      <c r="D20" s="1946"/>
      <c r="E20" s="1947"/>
      <c r="F20" s="1948"/>
      <c r="H20" s="1892">
        <f t="shared" si="0"/>
        <v>0</v>
      </c>
      <c r="I20" s="1892">
        <f t="shared" si="1"/>
        <v>0</v>
      </c>
      <c r="J20" s="1892">
        <f t="shared" si="2"/>
        <v>0</v>
      </c>
    </row>
    <row r="21" spans="1:12" ht="12" customHeight="1" x14ac:dyDescent="0.2">
      <c r="A21" s="1877" t="s">
        <v>1610</v>
      </c>
      <c r="B21" s="1878"/>
      <c r="C21" s="1946"/>
      <c r="D21" s="1946"/>
      <c r="E21" s="1947"/>
      <c r="F21" s="1948"/>
      <c r="H21" s="1892">
        <f t="shared" si="0"/>
        <v>0</v>
      </c>
      <c r="I21" s="1892">
        <f t="shared" si="1"/>
        <v>0</v>
      </c>
      <c r="J21" s="1892">
        <f t="shared" si="2"/>
        <v>0</v>
      </c>
    </row>
    <row r="22" spans="1:12" ht="12" customHeight="1" x14ac:dyDescent="0.2">
      <c r="A22" s="1877" t="s">
        <v>1611</v>
      </c>
      <c r="B22" s="1878"/>
      <c r="C22" s="1946"/>
      <c r="D22" s="1946"/>
      <c r="E22" s="1947"/>
      <c r="F22" s="1948"/>
      <c r="H22" s="1892">
        <f t="shared" si="0"/>
        <v>0</v>
      </c>
      <c r="I22" s="1892">
        <f t="shared" si="1"/>
        <v>0</v>
      </c>
      <c r="J22" s="1892">
        <f t="shared" si="2"/>
        <v>0</v>
      </c>
    </row>
    <row r="23" spans="1:12" ht="12" customHeight="1" x14ac:dyDescent="0.2">
      <c r="A23" s="1877" t="s">
        <v>1612</v>
      </c>
      <c r="B23" s="1878"/>
      <c r="C23" s="1946"/>
      <c r="D23" s="1946"/>
      <c r="E23" s="1947"/>
      <c r="F23" s="1949"/>
      <c r="H23" s="1892">
        <f t="shared" si="0"/>
        <v>0</v>
      </c>
      <c r="I23" s="1892">
        <f t="shared" si="1"/>
        <v>0</v>
      </c>
      <c r="J23" s="1892">
        <f t="shared" si="2"/>
        <v>0</v>
      </c>
    </row>
    <row r="24" spans="1:12" ht="12" customHeight="1" x14ac:dyDescent="0.2">
      <c r="A24" s="1877" t="s">
        <v>1613</v>
      </c>
      <c r="B24" s="1878"/>
      <c r="C24" s="1946"/>
      <c r="D24" s="1946"/>
      <c r="E24" s="1947"/>
      <c r="F24" s="1948"/>
      <c r="H24" s="1892">
        <f t="shared" si="0"/>
        <v>0</v>
      </c>
      <c r="I24" s="1892">
        <f t="shared" si="1"/>
        <v>0</v>
      </c>
      <c r="J24" s="1892">
        <f t="shared" si="2"/>
        <v>0</v>
      </c>
    </row>
    <row r="25" spans="1:12" ht="12" customHeight="1" x14ac:dyDescent="0.2">
      <c r="A25" s="1877" t="s">
        <v>1614</v>
      </c>
      <c r="B25" s="1878"/>
      <c r="C25" s="1946" t="s">
        <v>2073</v>
      </c>
      <c r="D25" s="1946" t="s">
        <v>2073</v>
      </c>
      <c r="E25" s="1947"/>
      <c r="F25" s="1949" t="s">
        <v>2222</v>
      </c>
      <c r="H25" s="1892">
        <f t="shared" si="0"/>
        <v>5</v>
      </c>
      <c r="I25" s="1892">
        <f t="shared" si="1"/>
        <v>5</v>
      </c>
      <c r="J25" s="1892">
        <f t="shared" si="2"/>
        <v>0</v>
      </c>
    </row>
    <row r="26" spans="1:12" ht="12" customHeight="1" x14ac:dyDescent="0.2">
      <c r="A26" s="1877" t="s">
        <v>1615</v>
      </c>
      <c r="B26" s="1878"/>
      <c r="C26" s="1946" t="s">
        <v>2073</v>
      </c>
      <c r="D26" s="1946" t="s">
        <v>2073</v>
      </c>
      <c r="E26" s="1947"/>
      <c r="F26" s="1949" t="s">
        <v>2223</v>
      </c>
      <c r="H26" s="1892">
        <f t="shared" si="0"/>
        <v>5</v>
      </c>
      <c r="I26" s="1892">
        <f t="shared" si="1"/>
        <v>5</v>
      </c>
      <c r="J26" s="1892">
        <f t="shared" si="2"/>
        <v>0</v>
      </c>
    </row>
    <row r="27" spans="1:12" x14ac:dyDescent="0.2">
      <c r="A27" s="1877" t="s">
        <v>1616</v>
      </c>
      <c r="B27" s="1878"/>
      <c r="C27" s="1946"/>
      <c r="D27" s="1946"/>
      <c r="E27" s="1947"/>
      <c r="F27" s="1948"/>
      <c r="H27" s="1892">
        <f t="shared" si="0"/>
        <v>0</v>
      </c>
      <c r="I27" s="1892">
        <f t="shared" si="1"/>
        <v>0</v>
      </c>
      <c r="J27" s="1892">
        <f t="shared" si="2"/>
        <v>0</v>
      </c>
    </row>
    <row r="28" spans="1:12" ht="12" customHeight="1" x14ac:dyDescent="0.2">
      <c r="A28" s="1877" t="s">
        <v>1617</v>
      </c>
      <c r="B28" s="1878"/>
      <c r="C28" s="1946" t="s">
        <v>2073</v>
      </c>
      <c r="D28" s="1946"/>
      <c r="E28" s="1947"/>
      <c r="F28" s="1948" t="s">
        <v>2094</v>
      </c>
      <c r="H28" s="1892">
        <f t="shared" si="0"/>
        <v>5</v>
      </c>
      <c r="I28" s="1892">
        <f t="shared" si="1"/>
        <v>0</v>
      </c>
      <c r="J28" s="1892">
        <f t="shared" si="2"/>
        <v>0</v>
      </c>
    </row>
    <row r="29" spans="1:12" ht="12" customHeight="1" x14ac:dyDescent="0.2">
      <c r="A29" s="1877" t="s">
        <v>1618</v>
      </c>
      <c r="B29" s="1878"/>
      <c r="C29" s="1946" t="s">
        <v>2073</v>
      </c>
      <c r="D29" s="1946" t="s">
        <v>2073</v>
      </c>
      <c r="E29" s="1947"/>
      <c r="F29" s="1948" t="s">
        <v>2095</v>
      </c>
      <c r="H29" s="1892">
        <f t="shared" si="0"/>
        <v>5</v>
      </c>
      <c r="I29" s="1892">
        <f t="shared" si="1"/>
        <v>5</v>
      </c>
      <c r="J29" s="1892">
        <f t="shared" si="2"/>
        <v>0</v>
      </c>
    </row>
    <row r="30" spans="1:12" ht="12" customHeight="1" x14ac:dyDescent="0.2">
      <c r="A30" s="1877" t="s">
        <v>1619</v>
      </c>
      <c r="B30" s="1878"/>
      <c r="C30" s="1946"/>
      <c r="D30" s="1946"/>
      <c r="E30" s="1947"/>
      <c r="F30" s="1948"/>
      <c r="H30" s="1892">
        <f t="shared" si="0"/>
        <v>0</v>
      </c>
      <c r="I30" s="1892">
        <f t="shared" si="1"/>
        <v>0</v>
      </c>
      <c r="J30" s="1892">
        <f t="shared" si="2"/>
        <v>0</v>
      </c>
    </row>
    <row r="31" spans="1:12" ht="12" customHeight="1" x14ac:dyDescent="0.2">
      <c r="A31" s="1877" t="s">
        <v>1620</v>
      </c>
      <c r="B31" s="1878"/>
      <c r="C31" s="1946"/>
      <c r="D31" s="1946"/>
      <c r="E31" s="1947"/>
      <c r="F31" s="1948"/>
      <c r="H31" s="1892">
        <f t="shared" si="0"/>
        <v>0</v>
      </c>
      <c r="I31" s="1892">
        <f t="shared" si="1"/>
        <v>0</v>
      </c>
      <c r="J31" s="1892">
        <f t="shared" si="2"/>
        <v>0</v>
      </c>
      <c r="L31" s="1883"/>
    </row>
    <row r="32" spans="1:12" ht="12" customHeight="1" x14ac:dyDescent="0.2">
      <c r="A32" s="1877" t="s">
        <v>1621</v>
      </c>
      <c r="B32" s="1878"/>
      <c r="C32" s="1946"/>
      <c r="D32" s="1946"/>
      <c r="E32" s="1947"/>
      <c r="F32" s="1948"/>
      <c r="H32" s="1892">
        <f t="shared" si="0"/>
        <v>0</v>
      </c>
      <c r="I32" s="1892">
        <f t="shared" si="1"/>
        <v>0</v>
      </c>
      <c r="J32" s="1892">
        <f t="shared" si="2"/>
        <v>0</v>
      </c>
    </row>
    <row r="33" spans="1:11" ht="12" customHeight="1" x14ac:dyDescent="0.2">
      <c r="A33" s="1877" t="s">
        <v>1622</v>
      </c>
      <c r="B33" s="1878"/>
      <c r="C33" s="1946"/>
      <c r="D33" s="1946"/>
      <c r="E33" s="1947"/>
      <c r="F33" s="1948"/>
      <c r="H33" s="1892">
        <f t="shared" si="0"/>
        <v>0</v>
      </c>
      <c r="I33" s="1892">
        <f t="shared" si="1"/>
        <v>0</v>
      </c>
      <c r="J33" s="1892">
        <f t="shared" si="2"/>
        <v>0</v>
      </c>
    </row>
    <row r="34" spans="1:11" ht="12" customHeight="1" x14ac:dyDescent="0.25">
      <c r="A34" s="1884"/>
      <c r="B34" s="1884"/>
      <c r="C34" s="1884"/>
      <c r="D34" s="1884"/>
      <c r="E34" s="1884"/>
      <c r="F34" s="1884"/>
      <c r="H34" s="1892">
        <f>SUM(H11:H32)</f>
        <v>25</v>
      </c>
      <c r="I34" s="1892">
        <f>SUM(I11:I32)</f>
        <v>20</v>
      </c>
      <c r="J34" s="1892">
        <f>SUM(J11:J32)</f>
        <v>0</v>
      </c>
      <c r="K34" s="1892">
        <f>SUM(H34:J34)</f>
        <v>45</v>
      </c>
    </row>
    <row r="35" spans="1:11" ht="12" customHeight="1" x14ac:dyDescent="0.2">
      <c r="A35" s="1885" t="s">
        <v>1459</v>
      </c>
      <c r="B35" s="1886"/>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87"/>
      <c r="B39" s="1887"/>
      <c r="C39" s="1887"/>
      <c r="D39" s="1887"/>
      <c r="E39" s="1887"/>
      <c r="F39" s="1887"/>
    </row>
    <row r="40" spans="1:11" s="1884" customFormat="1" ht="12" customHeight="1" x14ac:dyDescent="0.25">
      <c r="A40" s="1888" t="s">
        <v>1458</v>
      </c>
      <c r="B40" s="1889"/>
      <c r="C40" s="2357"/>
      <c r="D40" s="2357"/>
      <c r="E40" s="2357"/>
      <c r="F40" s="2358"/>
      <c r="H40" s="1893"/>
      <c r="I40" s="1893"/>
      <c r="J40" s="1893"/>
      <c r="K40" s="1893"/>
    </row>
    <row r="41" spans="1:11" s="1884" customFormat="1" ht="12" customHeight="1" x14ac:dyDescent="0.25">
      <c r="A41" s="2359"/>
      <c r="B41" s="2360"/>
      <c r="C41" s="2360"/>
      <c r="D41" s="2360"/>
      <c r="E41" s="2360"/>
      <c r="F41" s="2361"/>
      <c r="H41" s="1893"/>
      <c r="I41" s="1893"/>
      <c r="J41" s="1893"/>
      <c r="K41" s="1893"/>
    </row>
    <row r="42" spans="1:11" s="1884" customFormat="1" ht="12" customHeight="1" x14ac:dyDescent="0.25">
      <c r="A42" s="2359"/>
      <c r="B42" s="2360"/>
      <c r="C42" s="2360"/>
      <c r="D42" s="2360"/>
      <c r="E42" s="2360"/>
      <c r="F42" s="2361"/>
      <c r="H42" s="1893"/>
      <c r="I42" s="1893"/>
      <c r="J42" s="1893"/>
      <c r="K42" s="1893"/>
    </row>
    <row r="43" spans="1:11" s="1884" customFormat="1" ht="15" x14ac:dyDescent="0.25">
      <c r="A43" s="2351"/>
      <c r="B43" s="2352"/>
      <c r="C43" s="2352"/>
      <c r="D43" s="2352"/>
      <c r="E43" s="2352"/>
      <c r="F43" s="2353"/>
      <c r="H43" s="1893"/>
      <c r="I43" s="1893"/>
      <c r="J43" s="1893"/>
      <c r="K43" s="1893"/>
    </row>
    <row r="44" spans="1:11" s="1884" customFormat="1" ht="12" hidden="1" customHeight="1" x14ac:dyDescent="0.25">
      <c r="A44" s="2351"/>
      <c r="B44" s="2352"/>
      <c r="C44" s="2352"/>
      <c r="D44" s="2352"/>
      <c r="E44" s="2352"/>
      <c r="F44" s="2353"/>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 xml:space="preserve">&amp;C&amp;8Page 24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37" sqref="H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63"/>
      <c r="C6" s="1663"/>
      <c r="D6" s="1663"/>
      <c r="E6" s="1664"/>
      <c r="F6" s="1016"/>
      <c r="G6" s="1010"/>
      <c r="H6" s="1017" t="s">
        <v>1086</v>
      </c>
      <c r="I6" s="2367" t="str">
        <f>COVER!A17</f>
        <v>Tri-County SpEd Joint Agreement</v>
      </c>
      <c r="J6" s="2368"/>
      <c r="Q6" s="1681"/>
    </row>
    <row r="7" spans="1:17" x14ac:dyDescent="0.2">
      <c r="A7" s="2369" t="s">
        <v>924</v>
      </c>
      <c r="B7" s="2370"/>
      <c r="C7" s="2370"/>
      <c r="D7" s="2370"/>
      <c r="E7" s="2371"/>
      <c r="F7" s="1018"/>
      <c r="G7" s="1010"/>
      <c r="H7" s="1017" t="s">
        <v>390</v>
      </c>
      <c r="I7" s="2372">
        <f>COVER!A13</f>
        <v>30039186061</v>
      </c>
      <c r="J7" s="2372"/>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7">
        <f>'Expenditures 15-22'!K50</f>
        <v>1925339</v>
      </c>
      <c r="F12" s="1040"/>
      <c r="G12" s="1827">
        <f t="shared" ref="G12:G18" si="0">SUM(E12:F12)</f>
        <v>1925339</v>
      </c>
      <c r="H12" s="1041"/>
      <c r="I12" s="1040"/>
      <c r="J12" s="1827">
        <f t="shared" ref="J12:J18" si="1">SUM(H12:I12)</f>
        <v>0</v>
      </c>
    </row>
    <row r="13" spans="1:17" ht="15" customHeight="1" x14ac:dyDescent="0.2">
      <c r="A13" s="1036">
        <v>2</v>
      </c>
      <c r="B13" s="1037" t="s">
        <v>44</v>
      </c>
      <c r="C13" s="1038"/>
      <c r="D13" s="1039">
        <v>2330</v>
      </c>
      <c r="E13" s="1827">
        <f>'Expenditures 15-22'!K51</f>
        <v>0</v>
      </c>
      <c r="F13" s="1040"/>
      <c r="G13" s="1827">
        <f t="shared" si="0"/>
        <v>0</v>
      </c>
      <c r="H13" s="1041"/>
      <c r="I13" s="1040"/>
      <c r="J13" s="1827">
        <f t="shared" si="1"/>
        <v>0</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1128</v>
      </c>
      <c r="C15" s="1038"/>
      <c r="D15" s="1039">
        <v>2510</v>
      </c>
      <c r="E15" s="1827">
        <f>'Expenditures 15-22'!K59</f>
        <v>86308</v>
      </c>
      <c r="F15" s="1827">
        <f>'Expenditures 15-22'!K122</f>
        <v>0</v>
      </c>
      <c r="G15" s="1827">
        <f t="shared" si="0"/>
        <v>86308</v>
      </c>
      <c r="H15" s="1041"/>
      <c r="I15" s="1041"/>
      <c r="J15" s="1827">
        <f t="shared" si="1"/>
        <v>0</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1120</v>
      </c>
      <c r="C17" s="1038"/>
      <c r="D17" s="1039">
        <v>2610</v>
      </c>
      <c r="E17" s="1827">
        <f>'Expenditures 15-22'!K67</f>
        <v>0</v>
      </c>
      <c r="F17" s="1040"/>
      <c r="G17" s="1827">
        <f t="shared" si="0"/>
        <v>0</v>
      </c>
      <c r="H17" s="1041"/>
      <c r="I17" s="1040"/>
      <c r="J17" s="1827">
        <f t="shared" si="1"/>
        <v>0</v>
      </c>
    </row>
    <row r="18" spans="1:10" ht="22.5" customHeight="1" x14ac:dyDescent="0.2">
      <c r="A18" s="1043">
        <v>7</v>
      </c>
      <c r="B18" s="2376" t="s">
        <v>7</v>
      </c>
      <c r="C18" s="2377"/>
      <c r="D18" s="2378"/>
      <c r="E18" s="1044"/>
      <c r="F18" s="1044"/>
      <c r="G18" s="1828">
        <f t="shared" si="0"/>
        <v>0</v>
      </c>
      <c r="H18" s="1041"/>
      <c r="I18" s="1041"/>
      <c r="J18" s="1827">
        <f t="shared" si="1"/>
        <v>0</v>
      </c>
    </row>
    <row r="19" spans="1:10" ht="12.75" customHeight="1" thickBot="1" x14ac:dyDescent="0.25">
      <c r="A19" s="1036">
        <v>8</v>
      </c>
      <c r="B19" s="1045" t="s">
        <v>1223</v>
      </c>
      <c r="D19" s="1046"/>
      <c r="E19" s="1829">
        <f t="shared" ref="E19:J19" si="2">SUM(E12:E17)-E18</f>
        <v>2011647</v>
      </c>
      <c r="F19" s="1829">
        <f t="shared" si="2"/>
        <v>0</v>
      </c>
      <c r="G19" s="1829">
        <f t="shared" si="2"/>
        <v>2011647</v>
      </c>
      <c r="H19" s="1829">
        <f t="shared" si="2"/>
        <v>0</v>
      </c>
      <c r="I19" s="1829">
        <f t="shared" si="2"/>
        <v>0</v>
      </c>
      <c r="J19" s="1829">
        <f t="shared" si="2"/>
        <v>0</v>
      </c>
    </row>
    <row r="20" spans="1:10" ht="13.5" thickTop="1" x14ac:dyDescent="0.2">
      <c r="A20" s="1036">
        <v>9</v>
      </c>
      <c r="B20" s="2379" t="s">
        <v>1703</v>
      </c>
      <c r="C20" s="2379"/>
      <c r="D20" s="2380"/>
      <c r="E20" s="1047"/>
      <c r="F20" s="1047"/>
      <c r="G20" s="1047"/>
      <c r="H20" s="1047"/>
      <c r="I20" s="1047"/>
      <c r="J20" s="1830"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1939</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3" zoomScale="110" zoomScaleNormal="110" workbookViewId="0">
      <selection activeCell="H37" sqref="H3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4" t="s">
        <v>2109</v>
      </c>
    </row>
    <row r="6" spans="1:2" x14ac:dyDescent="0.2">
      <c r="A6" s="1069">
        <v>2</v>
      </c>
      <c r="B6" s="4" t="s">
        <v>2110</v>
      </c>
    </row>
    <row r="7" spans="1:2" x14ac:dyDescent="0.2">
      <c r="A7" s="1069">
        <v>3</v>
      </c>
      <c r="B7" s="4"/>
    </row>
    <row r="8" spans="1:2" x14ac:dyDescent="0.2">
      <c r="A8" s="1069">
        <v>4</v>
      </c>
      <c r="B8" s="4"/>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Tri-County SpEd Joint Agreement</v>
      </c>
    </row>
    <row r="65" spans="2:2" x14ac:dyDescent="0.2">
      <c r="B65" s="1071">
        <f>COVER!A13</f>
        <v>30039186061</v>
      </c>
    </row>
  </sheetData>
  <phoneticPr fontId="13" type="noConversion"/>
  <pageMargins left="0.2" right="0.2" top="1.17" bottom="0.75" header="0.19" footer="0.16"/>
  <pageSetup scale="80" firstPageNumber="25" orientation="portrait" useFirstPageNumber="1" r:id="rId1"/>
  <headerFooter alignWithMargins="0">
    <oddHeader>&amp;L&amp;8Page 25&amp;C &amp;R&amp;8Page 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H37" sqref="H3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2" t="s">
        <v>1709</v>
      </c>
    </row>
    <row r="23" spans="1:5" x14ac:dyDescent="0.2">
      <c r="A23" s="168"/>
      <c r="B23" s="162" t="s">
        <v>1964</v>
      </c>
      <c r="D23" s="167" t="s">
        <v>658</v>
      </c>
      <c r="E23" s="1852"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3" t="s">
        <v>1125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715</v>
      </c>
      <c r="B40" s="2100"/>
      <c r="C40" s="2100"/>
      <c r="D40" s="2100"/>
      <c r="E40" s="2100"/>
    </row>
    <row r="41" spans="1:5" x14ac:dyDescent="0.2">
      <c r="A41" s="2101" t="s">
        <v>1706</v>
      </c>
      <c r="B41" s="2101"/>
      <c r="C41" s="2101"/>
      <c r="D41" s="2101"/>
      <c r="E41" s="2101"/>
    </row>
    <row r="42" spans="1:5" ht="12.75" customHeight="1" x14ac:dyDescent="0.2">
      <c r="A42" s="2102" t="s">
        <v>1080</v>
      </c>
      <c r="B42" s="2102"/>
      <c r="C42" s="2102"/>
      <c r="D42" s="2102"/>
      <c r="E42" s="210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31" colorId="8" zoomScale="110" zoomScaleNormal="110" workbookViewId="0">
      <selection activeCell="H37" sqref="H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26&amp;R&amp;8Page 26</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6:F23"/>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6" spans="2:6" x14ac:dyDescent="0.2">
      <c r="B16" s="1072"/>
      <c r="C16" s="1072"/>
      <c r="D16" s="1072"/>
      <c r="E16" s="1072"/>
      <c r="F16" s="1072"/>
    </row>
    <row r="18" spans="1:2" x14ac:dyDescent="0.2">
      <c r="A18" s="1073" t="s">
        <v>1573</v>
      </c>
    </row>
    <row r="20" spans="1:2" x14ac:dyDescent="0.2">
      <c r="A20" s="389" t="s">
        <v>912</v>
      </c>
    </row>
    <row r="21" spans="1:2" s="1072" customFormat="1" ht="45" customHeight="1" x14ac:dyDescent="0.2">
      <c r="A21" s="1074"/>
      <c r="B21" s="1074" t="s">
        <v>1783</v>
      </c>
    </row>
    <row r="22" spans="1:2" ht="6" customHeight="1" x14ac:dyDescent="0.2"/>
    <row r="23" spans="1:2" ht="24.75" customHeight="1" x14ac:dyDescent="0.2">
      <c r="A23" s="2386" t="s">
        <v>1784</v>
      </c>
      <c r="B23" s="2386"/>
    </row>
  </sheetData>
  <sheetProtection selectLockedCells="1"/>
  <mergeCells count="1">
    <mergeCell ref="A23:B23"/>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29699" r:id="rId4"/>
      </mc:Fallback>
    </mc:AlternateContent>
    <mc:AlternateContent xmlns:mc="http://schemas.openxmlformats.org/markup-compatibility/2006">
      <mc:Choice Requires="x14">
        <oleObject progId="Acrobat Document" dvAspect="DVASPECT_ICON" shapeId="29703" r:id="rId6">
          <objectPr defaultSize="0" r:id="rId5">
            <anchor moveWithCells="1">
              <from>
                <xdr:col>1</xdr:col>
                <xdr:colOff>19050</xdr:colOff>
                <xdr:row>10</xdr:row>
                <xdr:rowOff>114300</xdr:rowOff>
              </from>
              <to>
                <xdr:col>1</xdr:col>
                <xdr:colOff>933450</xdr:colOff>
                <xdr:row>14</xdr:row>
                <xdr:rowOff>152400</xdr:rowOff>
              </to>
            </anchor>
          </objectPr>
        </oleObject>
      </mc:Choice>
      <mc:Fallback>
        <oleObject progId="Acrobat Document" dvAspect="DVASPECT_ICON" shapeId="2970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H37" sqref="H3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1790</v>
      </c>
      <c r="B1" s="2388"/>
      <c r="C1" s="2388"/>
      <c r="D1" s="2388"/>
      <c r="E1" s="2388"/>
      <c r="F1" s="2389"/>
    </row>
    <row r="2" spans="1:8" ht="45" customHeight="1" x14ac:dyDescent="0.2">
      <c r="A2" s="2397" t="s">
        <v>1791</v>
      </c>
      <c r="B2" s="2398"/>
      <c r="C2" s="2398"/>
      <c r="D2" s="2398"/>
      <c r="E2" s="2398"/>
      <c r="F2" s="2399"/>
      <c r="G2" s="1075"/>
      <c r="H2" s="1075"/>
    </row>
    <row r="3" spans="1:8" ht="57" customHeight="1" x14ac:dyDescent="0.2">
      <c r="A3" s="2400" t="s">
        <v>1786</v>
      </c>
      <c r="B3" s="2401"/>
      <c r="C3" s="2401"/>
      <c r="D3" s="2401"/>
      <c r="E3" s="2401"/>
      <c r="F3" s="2402"/>
      <c r="G3" s="1075"/>
      <c r="H3" s="1075"/>
    </row>
    <row r="4" spans="1:8" ht="14.25" customHeight="1" x14ac:dyDescent="0.2">
      <c r="A4" s="2406" t="s">
        <v>2050</v>
      </c>
      <c r="B4" s="2407"/>
      <c r="C4" s="2407"/>
      <c r="D4" s="2407"/>
      <c r="E4" s="2407"/>
      <c r="F4" s="2408"/>
      <c r="G4" s="1075"/>
      <c r="H4" s="1075"/>
    </row>
    <row r="5" spans="1:8" ht="14.25" customHeight="1" x14ac:dyDescent="0.2">
      <c r="A5" s="2409" t="s">
        <v>2051</v>
      </c>
      <c r="B5" s="2410"/>
      <c r="C5" s="2410"/>
      <c r="D5" s="2410"/>
      <c r="E5" s="2410"/>
      <c r="F5" s="2411"/>
      <c r="G5" s="1075"/>
      <c r="H5" s="1075"/>
    </row>
    <row r="6" spans="1:8" s="1076" customFormat="1" ht="41.25" customHeight="1" x14ac:dyDescent="0.2">
      <c r="A6" s="2403" t="s">
        <v>1792</v>
      </c>
      <c r="B6" s="2404"/>
      <c r="C6" s="2404"/>
      <c r="D6" s="2404"/>
      <c r="E6" s="2404"/>
      <c r="F6" s="240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1">
        <f>'Acct Summary 7-8'!C8</f>
        <v>13207310</v>
      </c>
      <c r="C8" s="1831">
        <f>'Acct Summary 7-8'!D8</f>
        <v>0</v>
      </c>
      <c r="D8" s="1831">
        <f>'Acct Summary 7-8'!F8</f>
        <v>0</v>
      </c>
      <c r="E8" s="1831">
        <f>'Acct Summary 7-8'!I8</f>
        <v>0</v>
      </c>
      <c r="F8" s="1831">
        <f>SUM(B8:E8)</f>
        <v>13207310</v>
      </c>
    </row>
    <row r="9" spans="1:8" s="1080" customFormat="1" ht="14.25" customHeight="1" thickBot="1" x14ac:dyDescent="0.25">
      <c r="A9" s="1079" t="s">
        <v>1436</v>
      </c>
      <c r="B9" s="1832">
        <f>'Acct Summary 7-8'!C17</f>
        <v>12338870</v>
      </c>
      <c r="C9" s="1832">
        <f>'Acct Summary 7-8'!D17</f>
        <v>0</v>
      </c>
      <c r="D9" s="1832">
        <f>'Acct Summary 7-8'!F17</f>
        <v>0</v>
      </c>
      <c r="E9" s="1831"/>
      <c r="F9" s="1831">
        <f>SUM(B9:E9)</f>
        <v>12338870</v>
      </c>
    </row>
    <row r="10" spans="1:8" s="1080" customFormat="1" ht="14.25" thickTop="1" thickBot="1" x14ac:dyDescent="0.25">
      <c r="A10" s="1081" t="s">
        <v>1437</v>
      </c>
      <c r="B10" s="1833">
        <f>(B8-B9)</f>
        <v>868440</v>
      </c>
      <c r="C10" s="1833">
        <f>(C8-C9)</f>
        <v>0</v>
      </c>
      <c r="D10" s="1833">
        <f>(D8-D9)</f>
        <v>0</v>
      </c>
      <c r="E10" s="1832">
        <f>(E8-E9)</f>
        <v>0</v>
      </c>
      <c r="F10" s="1834">
        <f>SUM(F8-F9)</f>
        <v>868440</v>
      </c>
    </row>
    <row r="11" spans="1:8" s="1080" customFormat="1" ht="14.25" thickTop="1" thickBot="1" x14ac:dyDescent="0.25">
      <c r="A11" s="1082" t="s">
        <v>1785</v>
      </c>
      <c r="B11" s="1835">
        <f>'Acct Summary 7-8'!C81</f>
        <v>3805354</v>
      </c>
      <c r="C11" s="1835">
        <f>'Acct Summary 7-8'!D81</f>
        <v>0</v>
      </c>
      <c r="D11" s="1835">
        <f>'Acct Summary 7-8'!F81</f>
        <v>0</v>
      </c>
      <c r="E11" s="1835">
        <f>'Acct Summary 7-8'!I81</f>
        <v>0</v>
      </c>
      <c r="F11" s="1836">
        <f>SUM(B11:E11)</f>
        <v>3805354</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1787</v>
      </c>
      <c r="B16" s="2390"/>
      <c r="C16" s="2390"/>
      <c r="D16" s="2390"/>
      <c r="E16" s="239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27&amp;R&amp;8Page 27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412" t="s">
        <v>686</v>
      </c>
      <c r="B3" s="2413"/>
      <c r="C3" s="2413"/>
      <c r="D3" s="2414"/>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3" t="s">
        <v>1584</v>
      </c>
      <c r="D7" s="2424"/>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7" t="s">
        <v>332</v>
      </c>
      <c r="D21" s="2428"/>
    </row>
    <row r="22" spans="1:10" ht="12.75" x14ac:dyDescent="0.2">
      <c r="A22" s="1140"/>
      <c r="B22" s="1141">
        <v>2</v>
      </c>
      <c r="C22" s="2425" t="s">
        <v>1605</v>
      </c>
      <c r="D22" s="242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9" t="s">
        <v>557</v>
      </c>
      <c r="D43" s="243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1" t="s">
        <v>817</v>
      </c>
      <c r="D56" s="242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21" t="s">
        <v>1797</v>
      </c>
      <c r="D70" s="242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30039186061</v>
      </c>
    </row>
    <row r="3" spans="1:2" x14ac:dyDescent="0.2">
      <c r="A3" t="s">
        <v>1013</v>
      </c>
      <c r="B3" s="138" t="str">
        <f>COVER!A15</f>
        <v>Jackson, Perry, and Union</v>
      </c>
    </row>
    <row r="4" spans="1:2" x14ac:dyDescent="0.2">
      <c r="A4" t="s">
        <v>1064</v>
      </c>
      <c r="B4" s="138" t="str">
        <f>COVER!A17</f>
        <v>Tri-County SpEd Joint Agreement</v>
      </c>
    </row>
    <row r="5" spans="1:2" x14ac:dyDescent="0.2">
      <c r="A5" t="s">
        <v>728</v>
      </c>
      <c r="B5" s="138" t="str">
        <f>COVER!A38</f>
        <v>Jan Pearcy</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fPC</v>
      </c>
    </row>
    <row r="17" spans="1:2" x14ac:dyDescent="0.2">
      <c r="A17" t="s">
        <v>939</v>
      </c>
      <c r="B17" s="138" t="str">
        <f>COVER!T15</f>
        <v>Donald L Hoffman</v>
      </c>
    </row>
    <row r="18" spans="1:2" x14ac:dyDescent="0.2">
      <c r="A18" t="s">
        <v>1212</v>
      </c>
      <c r="B18" s="138" t="str">
        <f>COVER!T17</f>
        <v>1191 West St.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3392168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3624861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-156650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-180493</v>
      </c>
      <c r="C91" s="2" t="s">
        <v>594</v>
      </c>
      <c r="D91" s="2" t="str">
        <f t="shared" si="0"/>
        <v>Error?</v>
      </c>
    </row>
    <row r="92" spans="1:4" x14ac:dyDescent="0.2">
      <c r="A92" s="5">
        <v>31</v>
      </c>
      <c r="B92" s="138">
        <f>'Assets-Liab 5-6'!C39</f>
        <v>3805354</v>
      </c>
      <c r="D92" s="2" t="str">
        <f t="shared" si="0"/>
        <v>Error?</v>
      </c>
    </row>
    <row r="93" spans="1:4" x14ac:dyDescent="0.2">
      <c r="A93" s="5">
        <v>32</v>
      </c>
      <c r="B93" s="138">
        <f>'Assets-Liab 5-6'!C41</f>
        <v>3624861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7000</v>
      </c>
      <c r="D273" s="2" t="str">
        <f t="shared" si="3"/>
        <v>Error?</v>
      </c>
    </row>
    <row r="274" spans="1:4" x14ac:dyDescent="0.2">
      <c r="A274" s="5">
        <v>213</v>
      </c>
      <c r="B274" s="138">
        <f>'Assets-Liab 5-6'!M17</f>
        <v>230837</v>
      </c>
      <c r="D274" s="2" t="str">
        <f t="shared" si="3"/>
        <v>Error?</v>
      </c>
    </row>
    <row r="275" spans="1:4" x14ac:dyDescent="0.2">
      <c r="A275" s="5">
        <v>214</v>
      </c>
      <c r="B275" s="138">
        <f>'Assets-Liab 5-6'!M18</f>
        <v>38600</v>
      </c>
      <c r="D275" s="2" t="str">
        <f t="shared" si="3"/>
        <v>Error?</v>
      </c>
    </row>
    <row r="276" spans="1:4" x14ac:dyDescent="0.2">
      <c r="A276" s="5">
        <v>215</v>
      </c>
      <c r="B276" s="138">
        <f>'Assets-Liab 5-6'!M19</f>
        <v>1572565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1849002</v>
      </c>
      <c r="C279" s="2" t="s">
        <v>594</v>
      </c>
      <c r="D279" s="2" t="str">
        <f t="shared" si="3"/>
        <v>Error?</v>
      </c>
    </row>
    <row r="280" spans="1:4" x14ac:dyDescent="0.2">
      <c r="A280" s="5">
        <v>219</v>
      </c>
      <c r="B280" s="138">
        <f>'Assets-Liab 5-6'!M40</f>
        <v>1849002</v>
      </c>
      <c r="D280" s="2" t="str">
        <f t="shared" si="3"/>
        <v>Error?</v>
      </c>
    </row>
    <row r="281" spans="1:4" x14ac:dyDescent="0.2">
      <c r="A281" s="5">
        <v>220</v>
      </c>
      <c r="B281" s="138">
        <f>'Assets-Liab 5-6'!M41</f>
        <v>1849002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18915</v>
      </c>
      <c r="D719" s="2" t="str">
        <f t="shared" si="10"/>
        <v>Error?</v>
      </c>
    </row>
    <row r="720" spans="1:4" x14ac:dyDescent="0.2">
      <c r="A720" s="5">
        <v>659</v>
      </c>
      <c r="B720" s="138">
        <f>'Expenditures 15-22'!C33</f>
        <v>3976495</v>
      </c>
      <c r="C720" s="2" t="s">
        <v>594</v>
      </c>
      <c r="D720" s="2" t="str">
        <f t="shared" si="10"/>
        <v>Error?</v>
      </c>
    </row>
    <row r="721" spans="1:4" x14ac:dyDescent="0.2">
      <c r="A721" s="5">
        <v>660</v>
      </c>
      <c r="B721" s="138">
        <f>'Expenditures 15-22'!C36</f>
        <v>488387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389742</v>
      </c>
      <c r="D723" s="2" t="str">
        <f t="shared" si="10"/>
        <v>Error?</v>
      </c>
    </row>
    <row r="724" spans="1:4" x14ac:dyDescent="0.2">
      <c r="A724" s="5">
        <v>663</v>
      </c>
      <c r="B724" s="138">
        <f>'Expenditures 15-22'!C39</f>
        <v>372451</v>
      </c>
      <c r="D724" s="2" t="str">
        <f t="shared" si="10"/>
        <v>Error?</v>
      </c>
    </row>
    <row r="725" spans="1:4" x14ac:dyDescent="0.2">
      <c r="A725" s="5">
        <v>664</v>
      </c>
      <c r="B725" s="138">
        <f>'Expenditures 15-22'!C40</f>
        <v>342697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1593277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1248137</v>
      </c>
      <c r="D733" s="2" t="str">
        <f t="shared" si="10"/>
        <v>Error?</v>
      </c>
    </row>
    <row r="734" spans="1:4" x14ac:dyDescent="0.2">
      <c r="A734" s="5">
        <v>673</v>
      </c>
      <c r="B734" s="138">
        <f>'Expenditures 15-22'!C53</f>
        <v>1248137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69039</v>
      </c>
      <c r="D738" s="2" t="str">
        <f t="shared" si="10"/>
        <v>Error?</v>
      </c>
    </row>
    <row r="739" spans="1:4" x14ac:dyDescent="0.2">
      <c r="A739" s="5">
        <v>678</v>
      </c>
      <c r="B739" s="138">
        <f>'Expenditures 15-22'!C60</f>
        <v>101878</v>
      </c>
      <c r="D739" s="2" t="str">
        <f t="shared" si="10"/>
        <v>Error?</v>
      </c>
    </row>
    <row r="740" spans="1:4" x14ac:dyDescent="0.2">
      <c r="A740" s="5">
        <v>679</v>
      </c>
      <c r="B740" s="138">
        <f>'Expenditures 15-22'!C61</f>
        <v>148163</v>
      </c>
      <c r="D740" s="2" t="str">
        <f t="shared" si="10"/>
        <v>Error?</v>
      </c>
    </row>
    <row r="741" spans="1:4" x14ac:dyDescent="0.2">
      <c r="A741" s="5">
        <v>680</v>
      </c>
      <c r="B741" s="138">
        <f>'Expenditures 15-22'!C62</f>
        <v>47952</v>
      </c>
      <c r="D741" s="2" t="str">
        <f t="shared" si="10"/>
        <v>Error?</v>
      </c>
    </row>
    <row r="742" spans="1:4" x14ac:dyDescent="0.2">
      <c r="A742" s="5">
        <v>681</v>
      </c>
      <c r="B742" s="138">
        <f>'Expenditures 15-22'!C63</f>
        <v>43079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410111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3251525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7228020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4994</v>
      </c>
      <c r="D777" s="2" t="str">
        <f t="shared" si="11"/>
        <v>Error?</v>
      </c>
    </row>
    <row r="778" spans="1:4" x14ac:dyDescent="0.2">
      <c r="A778" s="5">
        <v>717</v>
      </c>
      <c r="B778" s="138">
        <f>'Expenditures 15-22'!D33</f>
        <v>1312319</v>
      </c>
      <c r="C778" s="2" t="s">
        <v>594</v>
      </c>
      <c r="D778" s="2" t="str">
        <f t="shared" si="11"/>
        <v>Error?</v>
      </c>
    </row>
    <row r="779" spans="1:4" x14ac:dyDescent="0.2">
      <c r="A779" s="5">
        <v>718</v>
      </c>
      <c r="B779" s="138">
        <f>'Expenditures 15-22'!D36</f>
        <v>134985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120275</v>
      </c>
      <c r="D781" s="2" t="str">
        <f t="shared" si="11"/>
        <v>Error?</v>
      </c>
    </row>
    <row r="782" spans="1:4" x14ac:dyDescent="0.2">
      <c r="A782" s="5">
        <v>721</v>
      </c>
      <c r="B782" s="138">
        <f>'Expenditures 15-22'!D39</f>
        <v>92802</v>
      </c>
      <c r="D782" s="2" t="str">
        <f t="shared" si="11"/>
        <v>Error?</v>
      </c>
    </row>
    <row r="783" spans="1:4" x14ac:dyDescent="0.2">
      <c r="A783" s="5">
        <v>722</v>
      </c>
      <c r="B783" s="138">
        <f>'Expenditures 15-22'!D40</f>
        <v>99135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447197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339397</v>
      </c>
      <c r="D791" s="2" t="str">
        <f t="shared" si="11"/>
        <v>Error?</v>
      </c>
    </row>
    <row r="792" spans="1:4" x14ac:dyDescent="0.2">
      <c r="A792" s="5">
        <v>731</v>
      </c>
      <c r="B792" s="138">
        <f>'Expenditures 15-22'!D53</f>
        <v>339397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17269</v>
      </c>
      <c r="D796" s="2" t="str">
        <f t="shared" si="11"/>
        <v>Error?</v>
      </c>
    </row>
    <row r="797" spans="1:4" x14ac:dyDescent="0.2">
      <c r="A797" s="5">
        <v>736</v>
      </c>
      <c r="B797" s="138">
        <f>'Expenditures 15-22'!D60</f>
        <v>25407</v>
      </c>
      <c r="D797" s="2" t="str">
        <f t="shared" si="11"/>
        <v>Error?</v>
      </c>
    </row>
    <row r="798" spans="1:4" x14ac:dyDescent="0.2">
      <c r="A798" s="5">
        <v>737</v>
      </c>
      <c r="B798" s="138">
        <f>'Expenditures 15-22'!D61</f>
        <v>60416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8547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111639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898233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2210552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140012</v>
      </c>
      <c r="C836" s="2" t="s">
        <v>594</v>
      </c>
      <c r="D836" s="2" t="str">
        <f t="shared" si="12"/>
        <v>Error?</v>
      </c>
    </row>
    <row r="837" spans="1:4" x14ac:dyDescent="0.2">
      <c r="A837" s="5">
        <v>776</v>
      </c>
      <c r="B837" s="138">
        <f>'Expenditures 15-22'!E36</f>
        <v>10990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25686</v>
      </c>
      <c r="D839" s="2" t="str">
        <f t="shared" si="12"/>
        <v>Error?</v>
      </c>
    </row>
    <row r="840" spans="1:4" x14ac:dyDescent="0.2">
      <c r="A840" s="5">
        <v>779</v>
      </c>
      <c r="B840" s="138">
        <f>'Expenditures 15-22'!E39</f>
        <v>14178</v>
      </c>
      <c r="D840" s="2" t="str">
        <f t="shared" si="12"/>
        <v>Error?</v>
      </c>
    </row>
    <row r="841" spans="1:4" x14ac:dyDescent="0.2">
      <c r="A841" s="5">
        <v>780</v>
      </c>
      <c r="B841" s="138">
        <f>'Expenditures 15-22'!E40</f>
        <v>8425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59279</v>
      </c>
      <c r="C843" s="2" t="s">
        <v>594</v>
      </c>
      <c r="D843" s="2" t="str">
        <f t="shared" si="12"/>
        <v>Error?</v>
      </c>
    </row>
    <row r="844" spans="1:4" x14ac:dyDescent="0.2">
      <c r="A844" s="5">
        <v>783</v>
      </c>
      <c r="B844" s="138">
        <f>'Expenditures 15-22'!E44</f>
        <v>99859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99859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278188</v>
      </c>
      <c r="D849" s="2" t="str">
        <f t="shared" si="12"/>
        <v>Error?</v>
      </c>
    </row>
    <row r="850" spans="1:4" x14ac:dyDescent="0.2">
      <c r="A850" s="5">
        <v>789</v>
      </c>
      <c r="B850" s="138">
        <f>'Expenditures 15-22'!E53</f>
        <v>278188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509</v>
      </c>
      <c r="D855" s="2" t="str">
        <f t="shared" si="12"/>
        <v>Error?</v>
      </c>
    </row>
    <row r="856" spans="1:4" x14ac:dyDescent="0.2">
      <c r="A856" s="5">
        <v>795</v>
      </c>
      <c r="B856" s="138">
        <f>'Expenditures 15-22'!E61</f>
        <v>238802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274939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514250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104826</v>
      </c>
      <c r="D867" s="2" t="str">
        <f t="shared" si="12"/>
        <v>Error?</v>
      </c>
    </row>
    <row r="868" spans="1:4" x14ac:dyDescent="0.2">
      <c r="A868" s="10">
        <v>807</v>
      </c>
      <c r="D868" s="2" t="str">
        <f t="shared" si="12"/>
        <v>OK</v>
      </c>
    </row>
    <row r="869" spans="1:4" x14ac:dyDescent="0.2">
      <c r="A869" s="5">
        <v>808</v>
      </c>
      <c r="B869" s="138">
        <f>'Expenditures 15-22'!E72</f>
        <v>104826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1056402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1572414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64524</v>
      </c>
      <c r="C894" s="2" t="s">
        <v>594</v>
      </c>
      <c r="D894" s="2" t="str">
        <f t="shared" si="12"/>
        <v>Error?</v>
      </c>
    </row>
    <row r="895" spans="1:4" x14ac:dyDescent="0.2">
      <c r="A895" s="5">
        <v>834</v>
      </c>
      <c r="B895" s="138">
        <f>'Expenditures 15-22'!F36</f>
        <v>2531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8161</v>
      </c>
      <c r="D897" s="2" t="str">
        <f t="shared" si="13"/>
        <v>Error?</v>
      </c>
    </row>
    <row r="898" spans="1:4" x14ac:dyDescent="0.2">
      <c r="A898" s="5">
        <v>837</v>
      </c>
      <c r="B898" s="138">
        <f>'Expenditures 15-22'!F39</f>
        <v>1930</v>
      </c>
      <c r="D898" s="2" t="str">
        <f t="shared" si="13"/>
        <v>Error?</v>
      </c>
    </row>
    <row r="899" spans="1:4" x14ac:dyDescent="0.2">
      <c r="A899" s="5">
        <v>838</v>
      </c>
      <c r="B899" s="138">
        <f>'Expenditures 15-22'!F40</f>
        <v>4433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17055</v>
      </c>
      <c r="C901" s="2" t="s">
        <v>594</v>
      </c>
      <c r="D901" s="2" t="str">
        <f t="shared" si="13"/>
        <v>Error?</v>
      </c>
    </row>
    <row r="902" spans="1:4" x14ac:dyDescent="0.2">
      <c r="A902" s="5">
        <v>841</v>
      </c>
      <c r="B902" s="138">
        <f>'Expenditures 15-22'!F44</f>
        <v>15054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15353</v>
      </c>
      <c r="D904" s="2" t="str">
        <f t="shared" si="13"/>
        <v>Error?</v>
      </c>
    </row>
    <row r="905" spans="1:4" x14ac:dyDescent="0.2">
      <c r="A905" s="5">
        <v>844</v>
      </c>
      <c r="B905" s="138">
        <f>'Expenditures 15-22'!F47</f>
        <v>30407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46385</v>
      </c>
      <c r="D907" s="2" t="str">
        <f t="shared" si="13"/>
        <v>Error?</v>
      </c>
    </row>
    <row r="908" spans="1:4" x14ac:dyDescent="0.2">
      <c r="A908" s="5">
        <v>847</v>
      </c>
      <c r="B908" s="138">
        <f>'Expenditures 15-22'!F53</f>
        <v>46385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1344</v>
      </c>
      <c r="D913" s="2" t="str">
        <f t="shared" si="13"/>
        <v>Error?</v>
      </c>
    </row>
    <row r="914" spans="1:4" x14ac:dyDescent="0.2">
      <c r="A914" s="5">
        <v>853</v>
      </c>
      <c r="B914" s="138">
        <f>'Expenditures 15-22'!F61</f>
        <v>57700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56835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115879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209726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274250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15437</v>
      </c>
      <c r="C952" s="2" t="s">
        <v>594</v>
      </c>
      <c r="D952" s="2" t="str">
        <f t="shared" si="13"/>
        <v>Error?</v>
      </c>
    </row>
    <row r="953" spans="1:4" x14ac:dyDescent="0.2">
      <c r="A953" s="5">
        <v>892</v>
      </c>
      <c r="B953" s="138">
        <f>'Expenditures 15-22'!G36</f>
        <v>12885</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12885</v>
      </c>
      <c r="C959" s="2" t="s">
        <v>594</v>
      </c>
      <c r="D959" s="2" t="str">
        <f t="shared" ref="D959:D1022" si="14">IF(ISBLANK(B959),"OK",IF(A959-B959=0,"OK","Error?"))</f>
        <v>Error?</v>
      </c>
    </row>
    <row r="960" spans="1:4" x14ac:dyDescent="0.2">
      <c r="A960" s="5">
        <v>899</v>
      </c>
      <c r="B960" s="138">
        <f>'Expenditures 15-22'!G44</f>
        <v>3612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3612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13232</v>
      </c>
      <c r="D965" s="2" t="str">
        <f t="shared" si="14"/>
        <v>Error?</v>
      </c>
    </row>
    <row r="966" spans="1:4" x14ac:dyDescent="0.2">
      <c r="A966" s="5">
        <v>905</v>
      </c>
      <c r="B966" s="138">
        <f>'Expenditures 15-22'!G53</f>
        <v>13232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7455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3140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10595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40324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55761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266701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5499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5499</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725673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997873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23909</v>
      </c>
      <c r="C1107" s="2" t="s">
        <v>594</v>
      </c>
      <c r="D1107" s="2" t="str">
        <f t="shared" si="16"/>
        <v>Error?</v>
      </c>
    </row>
    <row r="1108" spans="1:4" x14ac:dyDescent="0.2">
      <c r="A1108" s="5">
        <v>1047</v>
      </c>
      <c r="B1108" s="138">
        <f>'Expenditures 15-22'!K33</f>
        <v>5775488</v>
      </c>
      <c r="C1108" s="2" t="s">
        <v>594</v>
      </c>
      <c r="D1108" s="2" t="str">
        <f t="shared" si="16"/>
        <v>Error?</v>
      </c>
    </row>
    <row r="1109" spans="1:4" x14ac:dyDescent="0.2">
      <c r="A1109" s="5">
        <v>1048</v>
      </c>
      <c r="B1109" s="138">
        <f>'Expenditures 15-22'!K36</f>
        <v>649778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543864</v>
      </c>
      <c r="C1111" s="2" t="s">
        <v>594</v>
      </c>
      <c r="D1111" s="2" t="str">
        <f t="shared" si="16"/>
        <v>Error?</v>
      </c>
    </row>
    <row r="1112" spans="1:4" x14ac:dyDescent="0.2">
      <c r="A1112" s="5">
        <v>1051</v>
      </c>
      <c r="B1112" s="138">
        <f>'Expenditures 15-22'!K39</f>
        <v>481361</v>
      </c>
      <c r="C1112" s="2" t="s">
        <v>594</v>
      </c>
      <c r="D1112" s="2" t="str">
        <f t="shared" si="16"/>
        <v>Error?</v>
      </c>
    </row>
    <row r="1113" spans="1:4" x14ac:dyDescent="0.2">
      <c r="A1113" s="5">
        <v>1052</v>
      </c>
      <c r="B1113" s="138">
        <f>'Expenditures 15-22'!K40</f>
        <v>454690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2129693</v>
      </c>
      <c r="C1115" s="2" t="s">
        <v>594</v>
      </c>
      <c r="D1115" s="2" t="str">
        <f t="shared" si="16"/>
        <v>Error?</v>
      </c>
    </row>
    <row r="1116" spans="1:4" x14ac:dyDescent="0.2">
      <c r="A1116" s="5">
        <v>1055</v>
      </c>
      <c r="B1116" s="138">
        <f>'Expenditures 15-22'!K44</f>
        <v>124024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15353</v>
      </c>
      <c r="C1118" s="2" t="s">
        <v>594</v>
      </c>
      <c r="D1118" s="2" t="str">
        <f t="shared" si="16"/>
        <v>Error?</v>
      </c>
    </row>
    <row r="1119" spans="1:4" x14ac:dyDescent="0.2">
      <c r="A1119" s="5">
        <v>1058</v>
      </c>
      <c r="B1119" s="138">
        <f>'Expenditures 15-22'!K47</f>
        <v>139377</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1925339</v>
      </c>
      <c r="C1121" s="2" t="s">
        <v>594</v>
      </c>
      <c r="D1121" s="2" t="str">
        <f t="shared" si="16"/>
        <v>Error?</v>
      </c>
    </row>
    <row r="1122" spans="1:4" x14ac:dyDescent="0.2">
      <c r="A1122" s="5">
        <v>1061</v>
      </c>
      <c r="B1122" s="138">
        <f>'Expenditures 15-22'!K53</f>
        <v>1925339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86308</v>
      </c>
      <c r="C1126" s="2" t="s">
        <v>594</v>
      </c>
      <c r="D1126" s="2" t="str">
        <f t="shared" si="16"/>
        <v>Error?</v>
      </c>
    </row>
    <row r="1127" spans="1:4" x14ac:dyDescent="0.2">
      <c r="A1127" s="5">
        <v>1066</v>
      </c>
      <c r="B1127" s="138">
        <f>'Expenditures 15-22'!K60</f>
        <v>129138</v>
      </c>
      <c r="C1127" s="2" t="s">
        <v>594</v>
      </c>
      <c r="D1127" s="2" t="str">
        <f t="shared" si="16"/>
        <v>Error?</v>
      </c>
    </row>
    <row r="1128" spans="1:4" x14ac:dyDescent="0.2">
      <c r="A1128" s="5">
        <v>1067</v>
      </c>
      <c r="B1128" s="138">
        <f>'Expenditures 15-22'!K61</f>
        <v>512536</v>
      </c>
      <c r="C1128" s="2" t="s">
        <v>594</v>
      </c>
      <c r="D1128" s="2" t="str">
        <f t="shared" si="16"/>
        <v>Error?</v>
      </c>
    </row>
    <row r="1129" spans="1:4" x14ac:dyDescent="0.2">
      <c r="A1129" s="5">
        <v>1068</v>
      </c>
      <c r="B1129" s="138">
        <f>'Expenditures 15-22'!K62</f>
        <v>47952</v>
      </c>
      <c r="C1129" s="2" t="s">
        <v>594</v>
      </c>
      <c r="D1129" s="2" t="str">
        <f t="shared" si="16"/>
        <v>Error?</v>
      </c>
    </row>
    <row r="1130" spans="1:4" x14ac:dyDescent="0.2">
      <c r="A1130" s="5">
        <v>1069</v>
      </c>
      <c r="B1130" s="138">
        <f>'Expenditures 15-22'!K63</f>
        <v>386540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1162474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104826</v>
      </c>
      <c r="C1139" s="2" t="s">
        <v>594</v>
      </c>
      <c r="D1139" s="2" t="str">
        <f t="shared" si="16"/>
        <v>Error?</v>
      </c>
    </row>
    <row r="1140" spans="1:4" x14ac:dyDescent="0.2">
      <c r="A1140" s="10">
        <v>1079</v>
      </c>
      <c r="D1140" s="2" t="str">
        <f t="shared" si="16"/>
        <v>OK</v>
      </c>
    </row>
    <row r="1141" spans="1:4" x14ac:dyDescent="0.2">
      <c r="A1141" s="5">
        <v>1080</v>
      </c>
      <c r="B1141" s="138">
        <f>'Expenditures 15-22'!K72</f>
        <v>104826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5461709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1101673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12338870</v>
      </c>
      <c r="C1152" s="2" t="s">
        <v>594</v>
      </c>
      <c r="D1152" s="2" t="str">
        <f t="shared" si="17"/>
        <v>Error?</v>
      </c>
    </row>
    <row r="1153" spans="1:4" x14ac:dyDescent="0.2">
      <c r="A1153" s="5">
        <v>1092</v>
      </c>
      <c r="B1153" s="138">
        <f>'Expenditures 15-22'!K115</f>
        <v>868440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2936914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3805354</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7000</v>
      </c>
      <c r="D2008" s="2" t="str">
        <f t="shared" si="30"/>
        <v>Error?</v>
      </c>
    </row>
    <row r="2009" spans="1:4" x14ac:dyDescent="0.2">
      <c r="A2009" s="5">
        <v>1948</v>
      </c>
      <c r="B2009" s="138">
        <f>'Cap Outlay Deprec 26'!C8</f>
        <v>230837</v>
      </c>
      <c r="D2009" s="2" t="str">
        <f t="shared" si="30"/>
        <v>Error?</v>
      </c>
    </row>
    <row r="2010" spans="1:4" x14ac:dyDescent="0.2">
      <c r="A2010" s="5">
        <v>1949</v>
      </c>
      <c r="B2010" s="138">
        <f>'Cap Outlay Deprec 26'!C10</f>
        <v>38600</v>
      </c>
      <c r="D2010" s="2" t="str">
        <f t="shared" si="30"/>
        <v>Error?</v>
      </c>
    </row>
    <row r="2011" spans="1:4" x14ac:dyDescent="0.2">
      <c r="A2011" s="5">
        <v>1950</v>
      </c>
      <c r="B2011" s="138">
        <f>'Cap Outlay Deprec 26'!C12</f>
        <v>1516804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1793241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55761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55761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7000</v>
      </c>
      <c r="C2026" s="2" t="s">
        <v>594</v>
      </c>
      <c r="D2026" s="2" t="str">
        <f t="shared" si="30"/>
        <v>Error?</v>
      </c>
    </row>
    <row r="2027" spans="1:4" x14ac:dyDescent="0.2">
      <c r="A2027" s="5">
        <v>1966</v>
      </c>
      <c r="B2027" s="138">
        <f>'Cap Outlay Deprec 26'!F8</f>
        <v>230837</v>
      </c>
      <c r="C2027" s="2" t="s">
        <v>594</v>
      </c>
      <c r="D2027" s="2" t="str">
        <f t="shared" si="30"/>
        <v>Error?</v>
      </c>
    </row>
    <row r="2028" spans="1:4" x14ac:dyDescent="0.2">
      <c r="A2028" s="5">
        <v>1967</v>
      </c>
      <c r="B2028" s="138">
        <f>'Cap Outlay Deprec 26'!F10</f>
        <v>38600</v>
      </c>
      <c r="C2028" s="2" t="s">
        <v>594</v>
      </c>
      <c r="D2028" s="2" t="str">
        <f t="shared" si="30"/>
        <v>Error?</v>
      </c>
    </row>
    <row r="2029" spans="1:4" x14ac:dyDescent="0.2">
      <c r="A2029" s="5">
        <v>1968</v>
      </c>
      <c r="B2029" s="138">
        <f>'Cap Outlay Deprec 26'!F12</f>
        <v>1572565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1849002</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7000</v>
      </c>
      <c r="C2056" s="2" t="s">
        <v>594</v>
      </c>
      <c r="D2056" s="2" t="str">
        <f t="shared" si="31"/>
        <v>Error?</v>
      </c>
    </row>
    <row r="2057" spans="1:4" x14ac:dyDescent="0.2">
      <c r="A2057" s="5">
        <v>1996</v>
      </c>
      <c r="B2057" s="138">
        <f>'Cap Outlay Deprec 26'!L8</f>
        <v>230837</v>
      </c>
      <c r="C2057" s="2" t="s">
        <v>594</v>
      </c>
      <c r="D2057" s="2" t="str">
        <f t="shared" si="31"/>
        <v>Error?</v>
      </c>
    </row>
    <row r="2058" spans="1:4" x14ac:dyDescent="0.2">
      <c r="A2058" s="5">
        <v>1997</v>
      </c>
      <c r="B2058" s="138">
        <f>'Cap Outlay Deprec 26'!L10</f>
        <v>38600</v>
      </c>
      <c r="C2058" s="2" t="s">
        <v>594</v>
      </c>
      <c r="D2058" s="2" t="str">
        <f t="shared" si="31"/>
        <v>Error?</v>
      </c>
    </row>
    <row r="2059" spans="1:4" x14ac:dyDescent="0.2">
      <c r="A2059" s="5">
        <v>1998</v>
      </c>
      <c r="B2059" s="138">
        <f>'Cap Outlay Deprec 26'!L12</f>
        <v>1572565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1849002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725673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1101673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5575868</v>
      </c>
      <c r="C2551" s="2" t="s">
        <v>594</v>
      </c>
      <c r="D2551" s="2" t="str">
        <f t="shared" si="38"/>
        <v>Error?</v>
      </c>
    </row>
    <row r="2552" spans="1:4" x14ac:dyDescent="0.2">
      <c r="A2552" s="10">
        <v>2491</v>
      </c>
      <c r="D2552" s="2" t="str">
        <f t="shared" si="38"/>
        <v>OK</v>
      </c>
    </row>
    <row r="2553" spans="1:4" x14ac:dyDescent="0.2">
      <c r="A2553" s="5">
        <v>2492</v>
      </c>
      <c r="B2553" s="138">
        <f>'Acct Summary 7-8'!C6</f>
        <v>1786043</v>
      </c>
      <c r="C2553" s="2" t="s">
        <v>594</v>
      </c>
      <c r="D2553" s="2" t="str">
        <f t="shared" si="38"/>
        <v>Error?</v>
      </c>
    </row>
    <row r="2554" spans="1:4" x14ac:dyDescent="0.2">
      <c r="A2554" s="5">
        <v>2493</v>
      </c>
      <c r="B2554" s="138">
        <f>'Acct Summary 7-8'!C7</f>
        <v>5243899</v>
      </c>
      <c r="C2554" s="2" t="s">
        <v>594</v>
      </c>
      <c r="D2554" s="2" t="str">
        <f t="shared" si="38"/>
        <v>Error?</v>
      </c>
    </row>
    <row r="2555" spans="1:4" x14ac:dyDescent="0.2">
      <c r="A2555" s="5">
        <v>2494</v>
      </c>
      <c r="B2555" s="138">
        <f>'Acct Summary 7-8'!C8</f>
        <v>13207310</v>
      </c>
      <c r="C2555" s="2" t="s">
        <v>594</v>
      </c>
      <c r="D2555" s="2" t="str">
        <f t="shared" si="38"/>
        <v>Error?</v>
      </c>
    </row>
    <row r="2556" spans="1:4" x14ac:dyDescent="0.2">
      <c r="A2556" s="5">
        <v>2495</v>
      </c>
      <c r="B2556" s="138">
        <f>'Acct Summary 7-8'!C12</f>
        <v>5775488</v>
      </c>
      <c r="C2556" s="2" t="s">
        <v>594</v>
      </c>
      <c r="D2556" s="2" t="str">
        <f t="shared" si="38"/>
        <v>Error?</v>
      </c>
    </row>
    <row r="2557" spans="1:4" x14ac:dyDescent="0.2">
      <c r="A2557" s="5">
        <v>2496</v>
      </c>
      <c r="B2557" s="138">
        <f>'Acct Summary 7-8'!C13</f>
        <v>5461709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1101673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12338870</v>
      </c>
      <c r="C2561" s="2" t="s">
        <v>594</v>
      </c>
      <c r="D2561" s="2" t="str">
        <f t="shared" si="39"/>
        <v>Error?</v>
      </c>
    </row>
    <row r="2562" spans="1:4" x14ac:dyDescent="0.2">
      <c r="A2562" s="5">
        <v>2501</v>
      </c>
      <c r="B2562" s="138">
        <f>'Acct Summary 7-8'!C20</f>
        <v>868440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376000</v>
      </c>
      <c r="C2789" s="2" t="s">
        <v>594</v>
      </c>
      <c r="D2789" s="2" t="str">
        <f t="shared" si="42"/>
        <v>Error?</v>
      </c>
    </row>
    <row r="2790" spans="1:4" x14ac:dyDescent="0.2">
      <c r="A2790" s="5">
        <v>2729</v>
      </c>
      <c r="B2790" s="138">
        <f>'Expenditures 15-22'!E102</f>
        <v>376000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21571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21571</v>
      </c>
      <c r="D2914" s="2" t="str">
        <f t="shared" si="44"/>
        <v>Error?</v>
      </c>
    </row>
    <row r="2915" spans="1:4" x14ac:dyDescent="0.2">
      <c r="A2915" s="10">
        <v>2854</v>
      </c>
      <c r="D2915" s="2" t="str">
        <f t="shared" si="44"/>
        <v>OK</v>
      </c>
    </row>
    <row r="2916" spans="1:4" x14ac:dyDescent="0.2">
      <c r="A2916" s="5">
        <v>2855</v>
      </c>
      <c r="B2916" s="138">
        <f>'Assets-Liab 5-6'!L34</f>
        <v>21571</v>
      </c>
      <c r="C2916" s="2" t="s">
        <v>594</v>
      </c>
      <c r="D2916" s="2" t="str">
        <f t="shared" si="44"/>
        <v>Error?</v>
      </c>
    </row>
    <row r="2917" spans="1:4" x14ac:dyDescent="0.2">
      <c r="A2917" s="5">
        <v>2856</v>
      </c>
      <c r="B2917" s="138">
        <f>'Assets-Liab 5-6'!L41</f>
        <v>21571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376000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725673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1101673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868440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3391707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1128722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138850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58079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15437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266701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4999496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601500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232693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21571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331774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546848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13754158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546848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12885718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3805354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161738</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172165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1837357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161738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5809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4493120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4493120</v>
      </c>
      <c r="C5087" s="2" t="s">
        <v>594</v>
      </c>
      <c r="D5087" s="2" t="str">
        <f t="shared" si="78"/>
        <v>Error?</v>
      </c>
    </row>
    <row r="5088" spans="1:4" x14ac:dyDescent="0.2">
      <c r="A5088" s="5">
        <v>5027</v>
      </c>
      <c r="B5088" s="138">
        <f>'Revenues 9-14'!C65</f>
        <v>34329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34329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8595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15523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3400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1029496</v>
      </c>
      <c r="D5119" s="2" t="str">
        <f t="shared" ref="D5119:D5182" si="79">IF(ISBLANK(B5119),"OK",IF(A5119-B5119=0,"OK","Error?"))</f>
        <v>Error?</v>
      </c>
    </row>
    <row r="5120" spans="1:4" x14ac:dyDescent="0.2">
      <c r="A5120" s="5">
        <v>5059</v>
      </c>
      <c r="B5120" s="138">
        <f>'Revenues 9-14'!C108</f>
        <v>1032896</v>
      </c>
      <c r="C5120" s="2" t="s">
        <v>594</v>
      </c>
      <c r="D5120" s="2" t="str">
        <f t="shared" si="79"/>
        <v>Error?</v>
      </c>
    </row>
    <row r="5121" spans="1:4" x14ac:dyDescent="0.2">
      <c r="A5121" s="5">
        <v>5060</v>
      </c>
      <c r="B5121" s="138">
        <f>'Revenues 9-14'!C109</f>
        <v>5575868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601500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601500</v>
      </c>
      <c r="C5125" s="2" t="s">
        <v>594</v>
      </c>
      <c r="D5125" s="2" t="str">
        <f t="shared" si="79"/>
        <v>Error?</v>
      </c>
    </row>
    <row r="5126" spans="1:4" x14ac:dyDescent="0.2">
      <c r="A5126" s="5">
        <v>5065</v>
      </c>
      <c r="B5126" s="138">
        <f>'Revenues 9-14'!C117</f>
        <v>1150546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1150546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547796</v>
      </c>
      <c r="D5135" s="2" t="str">
        <f t="shared" si="79"/>
        <v>Error?</v>
      </c>
    </row>
    <row r="5136" spans="1:4" x14ac:dyDescent="0.2">
      <c r="A5136" s="10">
        <v>5075</v>
      </c>
      <c r="D5136" s="2" t="str">
        <f t="shared" si="79"/>
        <v>OK</v>
      </c>
    </row>
    <row r="5137" spans="1:4" x14ac:dyDescent="0.2">
      <c r="A5137" s="5">
        <v>5076</v>
      </c>
      <c r="B5137" s="138">
        <f>'Revenues 9-14'!C127</f>
        <v>24791</v>
      </c>
      <c r="D5137" s="2" t="str">
        <f t="shared" si="79"/>
        <v>Error?</v>
      </c>
    </row>
    <row r="5138" spans="1:4" x14ac:dyDescent="0.2">
      <c r="A5138" s="10">
        <v>5077</v>
      </c>
      <c r="D5138" s="2" t="str">
        <f t="shared" si="79"/>
        <v>OK</v>
      </c>
    </row>
    <row r="5139" spans="1:4" x14ac:dyDescent="0.2">
      <c r="A5139" s="5">
        <v>5078</v>
      </c>
      <c r="B5139" s="138">
        <f>'Revenues 9-14'!C128</f>
        <v>9342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581929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4346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49222</v>
      </c>
      <c r="D5177" s="2" t="str">
        <f t="shared" si="79"/>
        <v>Error?</v>
      </c>
    </row>
    <row r="5178" spans="1:4" x14ac:dyDescent="0.2">
      <c r="A5178" s="5">
        <v>5117</v>
      </c>
      <c r="B5178" s="138">
        <f>'Revenues 9-14'!C154</f>
        <v>49222</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635497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1786043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163021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94289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272807</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99969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2694054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2794023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5243899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5243899</v>
      </c>
      <c r="C5326" s="2" t="s">
        <v>594</v>
      </c>
      <c r="D5326" s="2" t="str">
        <f t="shared" si="82"/>
        <v>Error?</v>
      </c>
    </row>
    <row r="5327" spans="1:4" x14ac:dyDescent="0.2">
      <c r="A5327" s="5">
        <v>5266</v>
      </c>
      <c r="B5327" s="138">
        <f>'Revenues 9-14'!C275</f>
        <v>13207310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8480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2911</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59339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-86093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868440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0.22821529876064092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752083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565873</v>
      </c>
      <c r="D7251" s="2" t="str">
        <f t="shared" si="112"/>
        <v>Error?</v>
      </c>
    </row>
    <row r="7252" spans="1:4" x14ac:dyDescent="0.2">
      <c r="A7252">
        <f t="shared" si="113"/>
        <v>7191</v>
      </c>
      <c r="B7252" s="138">
        <f>'Expenditures 15-22'!D9</f>
        <v>178603</v>
      </c>
      <c r="D7252" s="2" t="str">
        <f t="shared" si="112"/>
        <v>Error?</v>
      </c>
    </row>
    <row r="7253" spans="1:4" x14ac:dyDescent="0.2">
      <c r="A7253">
        <f t="shared" si="113"/>
        <v>7192</v>
      </c>
      <c r="B7253" s="138">
        <f>'Expenditures 15-22'!E9</f>
        <v>1162</v>
      </c>
      <c r="D7253" s="2" t="str">
        <f t="shared" si="112"/>
        <v>Error?</v>
      </c>
    </row>
    <row r="7254" spans="1:4" x14ac:dyDescent="0.2">
      <c r="A7254">
        <f t="shared" si="113"/>
        <v>7193</v>
      </c>
      <c r="B7254" s="138">
        <f>'Expenditures 15-22'!F9</f>
        <v>6445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15497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29'!D41</f>
        <v>1893657.95</v>
      </c>
      <c r="D7797" s="2" t="str">
        <f t="shared" si="127"/>
        <v>Error?</v>
      </c>
      <c r="E7797" s="4" t="s">
        <v>2015</v>
      </c>
    </row>
    <row r="7798" spans="1:5" x14ac:dyDescent="0.2">
      <c r="A7798">
        <v>7737</v>
      </c>
      <c r="B7798" s="138">
        <f>'Contracts Paid in CY 29'!F41</f>
        <v>350000</v>
      </c>
      <c r="D7798" s="2" t="str">
        <f t="shared" si="127"/>
        <v>Error?</v>
      </c>
      <c r="E7798" s="4" t="s">
        <v>2015</v>
      </c>
    </row>
    <row r="7799" spans="1:5" x14ac:dyDescent="0.2">
      <c r="A7799">
        <v>7738</v>
      </c>
      <c r="B7799" s="138">
        <f>'Contracts Paid in CY 29'!G41</f>
        <v>546887.94999999995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election activeCell="H37" sqref="H3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62" t="s">
        <v>1252</v>
      </c>
      <c r="B3" s="2462"/>
      <c r="C3" s="2462"/>
      <c r="D3" s="2462"/>
      <c r="E3" s="2462"/>
      <c r="F3" s="2462"/>
      <c r="G3" s="2462"/>
      <c r="H3" s="2462"/>
      <c r="I3" s="2462"/>
      <c r="J3" s="2462"/>
      <c r="K3" s="2462"/>
      <c r="L3" s="2462"/>
    </row>
    <row r="4" spans="1:29" ht="13.5" customHeight="1" x14ac:dyDescent="0.2">
      <c r="A4" s="2431" t="s">
        <v>1799</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3" t="str">
        <f>COVER!A17</f>
        <v>Tri-County SpEd Joint Agreement</v>
      </c>
      <c r="B7" s="2454"/>
      <c r="C7" s="2454"/>
      <c r="D7" s="2455"/>
      <c r="E7" s="2456">
        <f>COVER!A13</f>
        <v>30039186061</v>
      </c>
      <c r="F7" s="2457"/>
      <c r="G7" s="2463" t="str">
        <f>COVER!T23</f>
        <v>060-004252</v>
      </c>
      <c r="H7" s="2464"/>
      <c r="I7" s="2464"/>
      <c r="J7" s="2464"/>
      <c r="K7" s="2464"/>
      <c r="L7" s="246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66"/>
      <c r="B9" s="2467"/>
      <c r="C9" s="2467"/>
      <c r="D9" s="2467"/>
      <c r="E9" s="2467"/>
      <c r="F9" s="2468"/>
      <c r="G9" s="2437" t="str">
        <f>COVER!T13</f>
        <v>Emling &amp; Hoffman, fPC</v>
      </c>
      <c r="H9" s="2469"/>
      <c r="I9" s="2469"/>
      <c r="J9" s="2469"/>
      <c r="K9" s="2469"/>
      <c r="L9" s="2470"/>
    </row>
    <row r="10" spans="1:29" ht="13.5" customHeight="1" x14ac:dyDescent="0.2">
      <c r="A10" s="2443" t="str">
        <f>COVER!A38</f>
        <v>Jan Pearcy</v>
      </c>
      <c r="B10" s="2444"/>
      <c r="C10" s="2444"/>
      <c r="D10" s="2444"/>
      <c r="E10" s="2444"/>
      <c r="F10" s="2445"/>
      <c r="G10" s="2437" t="str">
        <f>COVER!T17</f>
        <v>1191 West St. Louis Street</v>
      </c>
      <c r="H10" s="2438"/>
      <c r="I10" s="2438"/>
      <c r="J10" s="2438"/>
      <c r="K10" s="2438"/>
      <c r="L10" s="2439"/>
    </row>
    <row r="11" spans="1:29" ht="13.5" customHeight="1" x14ac:dyDescent="0.2">
      <c r="A11" s="1185" t="s">
        <v>1599</v>
      </c>
      <c r="B11" s="1186"/>
      <c r="C11" s="1187"/>
      <c r="D11" s="1192"/>
      <c r="E11" s="1187"/>
      <c r="F11" s="1191"/>
      <c r="G11" s="2437" t="str">
        <f>COVER!T19</f>
        <v>Nashville</v>
      </c>
      <c r="H11" s="2438"/>
      <c r="I11" s="2438"/>
      <c r="J11" s="2438"/>
      <c r="K11" s="2438"/>
      <c r="L11" s="2439"/>
    </row>
    <row r="12" spans="1:29" ht="13.5" customHeight="1" x14ac:dyDescent="0.2">
      <c r="A12" s="2446" t="s">
        <v>1598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1600</v>
      </c>
      <c r="H13" s="2433"/>
      <c r="I13" s="2449" t="str">
        <f>COVER!T25</f>
        <v>donhoffman@emlingcpa.com</v>
      </c>
      <c r="J13" s="2450"/>
      <c r="K13" s="2450"/>
      <c r="L13" s="2451"/>
    </row>
    <row r="14" spans="1:29" ht="13.5" customHeight="1" x14ac:dyDescent="0.2">
      <c r="A14" s="2437" t="str">
        <f>COVER!A19</f>
        <v>17258 Shomaker Drive</v>
      </c>
      <c r="B14" s="2438"/>
      <c r="C14" s="2438"/>
      <c r="D14" s="2438"/>
      <c r="E14" s="2438"/>
      <c r="F14" s="2439"/>
      <c r="G14" s="1196" t="s">
        <v>1247</v>
      </c>
      <c r="H14" s="1194"/>
      <c r="I14" s="1194"/>
      <c r="J14" s="1194"/>
      <c r="K14" s="1194"/>
      <c r="L14" s="1195"/>
    </row>
    <row r="15" spans="1:29" ht="13.5" customHeight="1" x14ac:dyDescent="0.2">
      <c r="A15" s="2437" t="str">
        <f>COVER!A21</f>
        <v>Murphysboro</v>
      </c>
      <c r="B15" s="2438"/>
      <c r="C15" s="2438"/>
      <c r="D15" s="2438"/>
      <c r="E15" s="2438"/>
      <c r="F15" s="2439"/>
      <c r="G15" s="2434" t="str">
        <f>COVER!T15</f>
        <v>Donald L Hoffman</v>
      </c>
      <c r="H15" s="2435"/>
      <c r="I15" s="2435"/>
      <c r="J15" s="2435"/>
      <c r="K15" s="2435"/>
      <c r="L15" s="2436"/>
    </row>
    <row r="16" spans="1:29" ht="12.2" customHeight="1" x14ac:dyDescent="0.2">
      <c r="A16" s="2459">
        <f>COVER!A25</f>
        <v>62966</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1246</v>
      </c>
      <c r="H17" s="1194"/>
      <c r="I17" s="1194"/>
      <c r="J17" s="1194"/>
      <c r="K17" s="1198" t="s">
        <v>1245</v>
      </c>
      <c r="L17" s="1191"/>
      <c r="M17" s="1184"/>
    </row>
    <row r="18" spans="1:13" ht="12.2" customHeight="1" x14ac:dyDescent="0.2">
      <c r="A18" s="2443"/>
      <c r="B18" s="2444"/>
      <c r="C18" s="2444"/>
      <c r="D18" s="2444"/>
      <c r="E18" s="2444"/>
      <c r="F18" s="2445"/>
      <c r="G18" s="2453" t="str">
        <f>COVER!T21</f>
        <v>618-327-4375</v>
      </c>
      <c r="H18" s="2454"/>
      <c r="I18" s="2454"/>
      <c r="J18" s="2454"/>
      <c r="K18" s="2453" t="str">
        <f>COVER!X21</f>
        <v>618-327-4376</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28&amp;R&amp;8Page 28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activeCell="B53" sqref="B5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Tri-County SpEd Joint Agreement</v>
      </c>
      <c r="B1" s="2452"/>
      <c r="C1" s="2452"/>
      <c r="D1" s="2452"/>
    </row>
    <row r="2" spans="1:11" s="1215" customFormat="1" ht="12.75" x14ac:dyDescent="0.2">
      <c r="A2" s="2476">
        <f>'Single Audit Cover'!E7</f>
        <v>30039186061</v>
      </c>
      <c r="B2" s="2477"/>
      <c r="C2" s="2477"/>
      <c r="D2" s="2477"/>
    </row>
    <row r="3" spans="1:11" s="1215" customFormat="1" ht="12.75" x14ac:dyDescent="0.2">
      <c r="A3" s="2475" t="s">
        <v>1593</v>
      </c>
      <c r="B3" s="2452"/>
      <c r="C3" s="2452"/>
      <c r="D3" s="245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28&amp;R&amp;8Page 28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Tri-County SpEd Joint Agreement</v>
      </c>
      <c r="B1" s="2479"/>
      <c r="C1" s="2479"/>
      <c r="D1" s="2479"/>
      <c r="E1" s="2479"/>
    </row>
    <row r="2" spans="1:5" x14ac:dyDescent="0.2">
      <c r="A2" s="2480">
        <f>'Single Audit Cover'!E7</f>
        <v>30039186061</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60" t="s">
        <v>1305</v>
      </c>
    </row>
    <row r="10" spans="1:5" x14ac:dyDescent="0.2">
      <c r="A10" s="1261" t="s">
        <v>1304</v>
      </c>
      <c r="B10" s="1262" t="s">
        <v>1303</v>
      </c>
      <c r="C10" s="1262"/>
      <c r="D10" s="1263">
        <f>SUM('Acct Summary 7-8'!C7:K7)</f>
        <v>5243899</v>
      </c>
    </row>
    <row r="11" spans="1:5" ht="18" customHeight="1" x14ac:dyDescent="0.2">
      <c r="A11" s="1261" t="s">
        <v>1302</v>
      </c>
      <c r="B11" s="1262"/>
      <c r="C11" s="1262"/>
    </row>
    <row r="12" spans="1:5" x14ac:dyDescent="0.2">
      <c r="A12" s="1261" t="s">
        <v>1301</v>
      </c>
      <c r="B12" s="1262" t="s">
        <v>1300</v>
      </c>
      <c r="C12" s="1262"/>
      <c r="D12" s="1264">
        <f>SUM('Revenues 9-14'!C112:D112,'Revenues 9-14'!F112:G112)</f>
        <v>601500</v>
      </c>
    </row>
    <row r="13" spans="1:5" x14ac:dyDescent="0.2">
      <c r="A13" s="1261" t="s">
        <v>1299</v>
      </c>
      <c r="B13" s="1262"/>
      <c r="C13" s="1262"/>
    </row>
    <row r="14" spans="1:5" x14ac:dyDescent="0.2">
      <c r="A14" s="1261" t="s">
        <v>1830</v>
      </c>
      <c r="B14" s="1262"/>
      <c r="C14" s="1262"/>
      <c r="D14" s="1264">
        <f>'ICR Computation 30'!E11</f>
        <v>8480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-1837357</v>
      </c>
    </row>
    <row r="19" spans="1:4" ht="13.5" thickBot="1" x14ac:dyDescent="0.25">
      <c r="A19" s="1265" t="s">
        <v>1297</v>
      </c>
      <c r="D19" s="1266">
        <f>SUM(D10:D17)</f>
        <v>4016522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1295</v>
      </c>
      <c r="D32" s="1263">
        <f>SUM(D19:D30)</f>
        <v>4016522</v>
      </c>
    </row>
    <row r="33" spans="1:4" x14ac:dyDescent="0.2">
      <c r="D33" s="1269"/>
    </row>
    <row r="34" spans="1:4" x14ac:dyDescent="0.2">
      <c r="A34" s="317" t="s">
        <v>1294</v>
      </c>
    </row>
    <row r="35" spans="1:4" x14ac:dyDescent="0.2">
      <c r="A35" s="317" t="s">
        <v>1293</v>
      </c>
      <c r="B35" s="1258" t="s">
        <v>1292</v>
      </c>
      <c r="D35" s="1270">
        <v>4016521</v>
      </c>
    </row>
    <row r="37" spans="1:4" x14ac:dyDescent="0.2">
      <c r="A37" s="1260" t="s">
        <v>1291</v>
      </c>
    </row>
    <row r="39" spans="1:4" ht="13.35" customHeight="1" x14ac:dyDescent="0.2">
      <c r="A39" s="1267" t="s">
        <v>1290</v>
      </c>
    </row>
    <row r="40" spans="1:4" x14ac:dyDescent="0.2">
      <c r="A40" s="2478" t="s">
        <v>2226</v>
      </c>
      <c r="B40" s="2478"/>
      <c r="D40" s="1268">
        <v>1</v>
      </c>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1289</v>
      </c>
      <c r="C47" s="1272"/>
      <c r="D47" s="1273">
        <f>SUM(D35:D45)</f>
        <v>4016522</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29&amp;R&amp;8Page 29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H37" sqref="H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8" t="str">
        <f>'Single Audit Cover'!A7</f>
        <v>Tri-County SpEd Joint Agreement</v>
      </c>
      <c r="B1" s="2498"/>
      <c r="C1" s="2498"/>
      <c r="D1" s="2498"/>
      <c r="E1" s="2498"/>
      <c r="F1" s="2498"/>
    </row>
    <row r="2" spans="1:7" ht="13.5" customHeight="1" x14ac:dyDescent="0.2">
      <c r="A2" s="2499">
        <f>'Single Audit Cover'!E7</f>
        <v>30039186061</v>
      </c>
      <c r="B2" s="2499"/>
      <c r="C2" s="2499"/>
      <c r="D2" s="2499"/>
      <c r="E2" s="2499"/>
      <c r="F2" s="2499"/>
      <c r="G2" s="1275"/>
    </row>
    <row r="3" spans="1:7" ht="15.75" customHeight="1" x14ac:dyDescent="0.2">
      <c r="A3" s="2500" t="s">
        <v>1333</v>
      </c>
      <c r="B3" s="2500"/>
      <c r="C3" s="2500"/>
      <c r="D3" s="2500"/>
      <c r="E3" s="2500"/>
      <c r="F3" s="2500"/>
    </row>
    <row r="4" spans="1:7" ht="13.5" customHeight="1" x14ac:dyDescent="0.2">
      <c r="A4" s="2501" t="str">
        <f>'Single Audit Cover'!A4</f>
        <v>Year Ending June 30, 2018</v>
      </c>
      <c r="B4" s="2501"/>
      <c r="C4" s="2501"/>
      <c r="D4" s="2501"/>
      <c r="E4" s="2501"/>
      <c r="F4" s="2501"/>
    </row>
    <row r="5" spans="1:7" ht="8.25" customHeight="1" x14ac:dyDescent="0.2">
      <c r="C5" s="317"/>
      <c r="D5" s="317"/>
    </row>
    <row r="6" spans="1:7" ht="13.5" customHeight="1" x14ac:dyDescent="0.2">
      <c r="A6" s="1276" t="s">
        <v>1831</v>
      </c>
      <c r="C6" s="317"/>
      <c r="D6" s="317"/>
    </row>
    <row r="7" spans="1:7" ht="60.95" customHeight="1" x14ac:dyDescent="0.2">
      <c r="A7" s="2497" t="s">
        <v>2096</v>
      </c>
      <c r="B7" s="2497"/>
      <c r="C7" s="2497"/>
      <c r="D7" s="2497"/>
      <c r="E7" s="2497"/>
      <c r="F7" s="249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15" customHeight="1" x14ac:dyDescent="0.2">
      <c r="A13" s="2497" t="s">
        <v>2097</v>
      </c>
      <c r="B13" s="2497"/>
      <c r="C13" s="2497"/>
      <c r="D13" s="2497"/>
      <c r="E13" s="2497"/>
      <c r="F13" s="2497"/>
    </row>
    <row r="14" spans="1:7" ht="9.75" customHeight="1" x14ac:dyDescent="0.2">
      <c r="C14" s="1260"/>
      <c r="D14" s="1260"/>
    </row>
    <row r="15" spans="1:7" ht="13.5" customHeight="1" x14ac:dyDescent="0.2">
      <c r="C15" s="1860" t="s">
        <v>1332</v>
      </c>
      <c r="D15" s="2489" t="s">
        <v>1331</v>
      </c>
      <c r="E15" s="2489"/>
      <c r="F15" s="2489"/>
    </row>
    <row r="16" spans="1:7" ht="13.5" customHeight="1" x14ac:dyDescent="0.2">
      <c r="A16" s="1282"/>
      <c r="B16" s="1276" t="s">
        <v>1330</v>
      </c>
      <c r="C16" s="1860" t="s">
        <v>1329</v>
      </c>
      <c r="D16" s="2490" t="s">
        <v>1670</v>
      </c>
      <c r="E16" s="2490"/>
      <c r="F16" s="2490"/>
    </row>
    <row r="17" spans="1:6" ht="20.45" customHeight="1" x14ac:dyDescent="0.2">
      <c r="A17" s="1283"/>
      <c r="B17" s="1976" t="s">
        <v>2169</v>
      </c>
      <c r="C17" s="1285"/>
      <c r="D17" s="2484"/>
      <c r="E17" s="2484"/>
      <c r="F17" s="2484"/>
    </row>
    <row r="18" spans="1:6" ht="20.65" customHeight="1" x14ac:dyDescent="0.2">
      <c r="A18" s="1283"/>
      <c r="B18" s="1976" t="s">
        <v>2170</v>
      </c>
      <c r="C18" s="1977" t="s">
        <v>2119</v>
      </c>
      <c r="D18" s="2491">
        <v>6500</v>
      </c>
      <c r="E18" s="2492"/>
      <c r="F18" s="2493"/>
    </row>
    <row r="19" spans="1:6" ht="20.65" customHeight="1" x14ac:dyDescent="0.2">
      <c r="A19" s="1283"/>
      <c r="B19" s="1284"/>
      <c r="C19" s="1285"/>
      <c r="D19" s="2491"/>
      <c r="E19" s="2492"/>
      <c r="F19" s="2493"/>
    </row>
    <row r="20" spans="1:6" ht="20.65" customHeight="1" x14ac:dyDescent="0.2">
      <c r="A20" s="1283"/>
      <c r="B20" s="1976" t="s">
        <v>2227</v>
      </c>
      <c r="C20" s="1285"/>
      <c r="D20" s="2491"/>
      <c r="E20" s="2492"/>
      <c r="F20" s="2493"/>
    </row>
    <row r="21" spans="1:6" ht="20.65" customHeight="1" x14ac:dyDescent="0.2">
      <c r="A21" s="1283"/>
      <c r="B21" s="1976" t="s">
        <v>2170</v>
      </c>
      <c r="C21" s="1977" t="s">
        <v>2119</v>
      </c>
      <c r="D21" s="2491">
        <v>60000</v>
      </c>
      <c r="E21" s="2492"/>
      <c r="F21" s="2493"/>
    </row>
    <row r="22" spans="1:6" ht="20.65" customHeight="1" x14ac:dyDescent="0.2">
      <c r="A22" s="1283"/>
      <c r="B22" s="1976" t="s">
        <v>2171</v>
      </c>
      <c r="C22" s="1977" t="s">
        <v>2119</v>
      </c>
      <c r="D22" s="2494">
        <v>120000</v>
      </c>
      <c r="E22" s="2495"/>
      <c r="F22" s="2496"/>
    </row>
    <row r="23" spans="1:6" ht="20.65" customHeight="1" x14ac:dyDescent="0.2">
      <c r="A23" s="1283"/>
      <c r="B23" s="1978" t="s">
        <v>2172</v>
      </c>
      <c r="C23" s="1977" t="s">
        <v>2119</v>
      </c>
      <c r="D23" s="2491">
        <v>215000</v>
      </c>
      <c r="E23" s="2492"/>
      <c r="F23" s="2493"/>
    </row>
    <row r="24" spans="1:6" ht="20.65" customHeight="1" x14ac:dyDescent="0.2">
      <c r="A24" s="1283"/>
      <c r="B24" s="1978" t="s">
        <v>2173</v>
      </c>
      <c r="C24" s="1977" t="s">
        <v>2119</v>
      </c>
      <c r="D24" s="2491">
        <v>200000</v>
      </c>
      <c r="E24" s="2492"/>
      <c r="F24" s="2493"/>
    </row>
    <row r="25" spans="1:6" ht="20.65" customHeight="1" x14ac:dyDescent="0.2">
      <c r="A25" s="1283"/>
      <c r="B25" s="1284"/>
      <c r="C25" s="1285"/>
      <c r="D25" s="2484"/>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979" t="s">
        <v>2174</v>
      </c>
      <c r="C29" s="1285"/>
      <c r="D29" s="2484">
        <f>6500+60000+120000+215000+200000</f>
        <v>601500</v>
      </c>
      <c r="E29" s="2484"/>
      <c r="F29" s="2484"/>
    </row>
    <row r="30" spans="1:6" ht="12" customHeight="1" x14ac:dyDescent="0.2">
      <c r="A30" s="328"/>
      <c r="B30" s="328"/>
      <c r="C30" s="1478"/>
      <c r="D30" s="1917"/>
      <c r="E30" s="1286"/>
    </row>
    <row r="31" spans="1:6" ht="12" customHeight="1" x14ac:dyDescent="0.2">
      <c r="A31" s="1287" t="s">
        <v>1630</v>
      </c>
      <c r="B31" s="328"/>
      <c r="C31" s="1478"/>
      <c r="D31" s="1917"/>
      <c r="E31" s="1286"/>
    </row>
    <row r="32" spans="1:6" ht="30" customHeight="1" x14ac:dyDescent="0.2">
      <c r="A32" s="2485" t="s">
        <v>2098</v>
      </c>
      <c r="B32" s="2485"/>
      <c r="C32" s="2485"/>
      <c r="D32" s="2485"/>
      <c r="E32" s="2485"/>
      <c r="F32" s="2485"/>
    </row>
    <row r="33" spans="1:6" ht="13.5" customHeight="1" x14ac:dyDescent="0.2">
      <c r="A33" s="328" t="s">
        <v>1509</v>
      </c>
      <c r="B33" s="328"/>
      <c r="C33" s="1288">
        <v>8480</v>
      </c>
      <c r="D33" s="1917"/>
      <c r="E33" s="1286"/>
    </row>
    <row r="34" spans="1:6" ht="13.5" customHeight="1" x14ac:dyDescent="0.2">
      <c r="A34" s="328" t="s">
        <v>1944</v>
      </c>
      <c r="B34" s="328"/>
      <c r="C34" s="1289">
        <f>694+3201+11600</f>
        <v>15495</v>
      </c>
      <c r="D34" s="1917" t="s">
        <v>1671</v>
      </c>
      <c r="E34" s="2486">
        <f>+C33+C34</f>
        <v>23975</v>
      </c>
      <c r="F34" s="2487"/>
    </row>
    <row r="35" spans="1:6" ht="12" customHeight="1" x14ac:dyDescent="0.2">
      <c r="A35" s="328"/>
      <c r="B35" s="328"/>
      <c r="C35" s="1918"/>
      <c r="D35" s="1917"/>
      <c r="E35" s="1290"/>
      <c r="F35" s="1291"/>
    </row>
    <row r="36" spans="1:6" ht="13.5" customHeight="1" x14ac:dyDescent="0.2">
      <c r="A36" s="1287" t="s">
        <v>1631</v>
      </c>
      <c r="B36" s="328"/>
      <c r="C36" s="1478"/>
      <c r="D36" s="1917"/>
      <c r="E36" s="1286"/>
    </row>
    <row r="37" spans="1:6" ht="14.25" customHeight="1" x14ac:dyDescent="0.2">
      <c r="A37" s="328" t="s">
        <v>1563</v>
      </c>
      <c r="B37" s="328"/>
      <c r="C37" s="1919"/>
      <c r="D37" s="1917"/>
      <c r="E37" s="1286"/>
    </row>
    <row r="38" spans="1:6" ht="14.25" customHeight="1" x14ac:dyDescent="0.2">
      <c r="A38" s="328"/>
      <c r="B38" s="328" t="s">
        <v>1510</v>
      </c>
      <c r="C38" s="1292"/>
      <c r="D38" s="1917"/>
      <c r="E38" s="1286"/>
    </row>
    <row r="39" spans="1:6" ht="14.25" customHeight="1" x14ac:dyDescent="0.2">
      <c r="A39" s="328"/>
      <c r="B39" s="328" t="s">
        <v>1511</v>
      </c>
      <c r="C39" s="1292"/>
      <c r="D39" s="1917"/>
      <c r="E39" s="1286"/>
    </row>
    <row r="40" spans="1:6" ht="14.25" customHeight="1" x14ac:dyDescent="0.2">
      <c r="A40" s="328"/>
      <c r="B40" s="328" t="s">
        <v>1512</v>
      </c>
      <c r="C40" s="1292"/>
      <c r="D40" s="1917"/>
      <c r="E40" s="1286"/>
    </row>
    <row r="41" spans="1:6" ht="14.25" customHeight="1" x14ac:dyDescent="0.2">
      <c r="A41" s="328"/>
      <c r="B41" s="328" t="s">
        <v>1513</v>
      </c>
      <c r="C41" s="1292"/>
      <c r="D41" s="1917"/>
      <c r="E41" s="1286"/>
    </row>
    <row r="42" spans="1:6" ht="14.25" customHeight="1" x14ac:dyDescent="0.2">
      <c r="A42" s="328" t="s">
        <v>1514</v>
      </c>
      <c r="B42" s="328"/>
      <c r="C42" s="1915"/>
      <c r="D42" s="1917"/>
      <c r="E42" s="1286"/>
    </row>
    <row r="43" spans="1:6" ht="14.25" customHeight="1" x14ac:dyDescent="0.2">
      <c r="A43" s="328" t="s">
        <v>1515</v>
      </c>
      <c r="B43" s="328"/>
      <c r="C43" s="1293"/>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9"/>
    </row>
    <row r="50" spans="1:5" s="1300" customFormat="1" ht="3.75" customHeight="1" x14ac:dyDescent="0.2">
      <c r="A50" s="1299"/>
      <c r="B50" s="1859"/>
      <c r="C50" s="1859"/>
      <c r="D50" s="1859"/>
      <c r="E50" s="1399"/>
    </row>
    <row r="51" spans="1:5" s="1300" customFormat="1" ht="20.25" customHeight="1" x14ac:dyDescent="0.2">
      <c r="A51" s="1301">
        <v>6</v>
      </c>
      <c r="B51" s="2483" t="s">
        <v>1632</v>
      </c>
      <c r="C51" s="2483"/>
      <c r="D51" s="2483"/>
    </row>
    <row r="52" spans="1:5" ht="14.25" customHeight="1" x14ac:dyDescent="0.2">
      <c r="A52" s="1301"/>
      <c r="B52" s="2483"/>
      <c r="C52" s="2483"/>
      <c r="D52" s="24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30&amp;R&amp;8Page 30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Tri-County SpEd Joint Agreement</v>
      </c>
      <c r="C1" s="2502"/>
      <c r="D1" s="2502"/>
      <c r="E1" s="2502"/>
      <c r="F1" s="2502"/>
      <c r="G1" s="2502"/>
      <c r="H1" s="2502"/>
      <c r="I1" s="2502"/>
      <c r="J1" s="2502"/>
      <c r="K1" s="2502"/>
      <c r="L1" s="2502"/>
      <c r="M1" s="2502"/>
    </row>
    <row r="2" spans="2:14" ht="15" x14ac:dyDescent="0.2">
      <c r="B2" s="2499">
        <f>'Single Audit Cover'!E7</f>
        <v>30039186061</v>
      </c>
      <c r="C2" s="2499"/>
      <c r="D2" s="2499"/>
      <c r="E2" s="2499"/>
      <c r="F2" s="2499"/>
      <c r="G2" s="2499"/>
      <c r="H2" s="2499"/>
      <c r="I2" s="2499"/>
      <c r="J2" s="2499"/>
      <c r="K2" s="2499"/>
      <c r="L2" s="2499"/>
      <c r="M2" s="2499"/>
      <c r="N2" s="1302"/>
    </row>
    <row r="3" spans="2:14" ht="15" x14ac:dyDescent="0.2">
      <c r="B3" s="2503" t="s">
        <v>1281</v>
      </c>
      <c r="C3" s="2503"/>
      <c r="D3" s="2503"/>
      <c r="E3" s="2503"/>
      <c r="F3" s="2503"/>
      <c r="G3" s="2503"/>
      <c r="H3" s="2503"/>
      <c r="I3" s="2503"/>
      <c r="J3" s="2503"/>
      <c r="K3" s="2503"/>
      <c r="L3" s="2503"/>
      <c r="M3" s="2503"/>
      <c r="N3" s="1302"/>
    </row>
    <row r="4" spans="2:14" ht="15" x14ac:dyDescent="0.2">
      <c r="B4" s="2504" t="str">
        <f>'Single Audit Cover'!A4</f>
        <v>Year Ending June 30, 2018</v>
      </c>
      <c r="C4" s="2504"/>
      <c r="D4" s="2504"/>
      <c r="E4" s="2504"/>
      <c r="F4" s="2504"/>
      <c r="G4" s="2504"/>
      <c r="H4" s="2504"/>
      <c r="I4" s="2504"/>
      <c r="J4" s="2504"/>
      <c r="K4" s="2504"/>
      <c r="L4" s="2504"/>
      <c r="M4" s="250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2111</v>
      </c>
      <c r="C11" s="1338"/>
      <c r="D11" s="1339"/>
      <c r="E11" s="1340"/>
      <c r="F11" s="1340"/>
      <c r="G11" s="1340"/>
      <c r="H11" s="1340"/>
      <c r="I11" s="1340"/>
      <c r="J11" s="1340"/>
      <c r="K11" s="1340"/>
      <c r="L11" s="1340">
        <f>+G11+I11+K11</f>
        <v>0</v>
      </c>
      <c r="M11" s="1340"/>
    </row>
    <row r="12" spans="2:14" ht="32.25" customHeight="1" x14ac:dyDescent="0.2">
      <c r="B12" s="1954" t="s">
        <v>2112</v>
      </c>
      <c r="C12" s="1341"/>
      <c r="D12" s="1342"/>
      <c r="E12" s="1343"/>
      <c r="F12" s="1343"/>
      <c r="G12" s="1343"/>
      <c r="H12" s="1343"/>
      <c r="I12" s="1343"/>
      <c r="J12" s="1343"/>
      <c r="K12" s="1343"/>
      <c r="L12" s="1340">
        <f t="shared" ref="L12:L27" si="0">+G12+I12+K12</f>
        <v>0</v>
      </c>
      <c r="M12" s="1343"/>
    </row>
    <row r="13" spans="2:14" ht="20.100000000000001" customHeight="1" x14ac:dyDescent="0.2">
      <c r="B13" s="1955" t="s">
        <v>2113</v>
      </c>
      <c r="C13" s="1956"/>
      <c r="D13" s="1342"/>
      <c r="E13" s="1343"/>
      <c r="F13" s="1343"/>
      <c r="G13" s="1343"/>
      <c r="H13" s="1343"/>
      <c r="I13" s="1343"/>
      <c r="J13" s="1343"/>
      <c r="K13" s="1343"/>
      <c r="L13" s="1340">
        <f t="shared" si="0"/>
        <v>0</v>
      </c>
      <c r="M13" s="1343"/>
    </row>
    <row r="14" spans="2:14" ht="20.100000000000001" customHeight="1" x14ac:dyDescent="0.2">
      <c r="B14" s="1955" t="s">
        <v>2115</v>
      </c>
      <c r="C14" s="1957" t="s">
        <v>2114</v>
      </c>
      <c r="D14" s="1342" t="s">
        <v>2116</v>
      </c>
      <c r="E14" s="1343">
        <v>95335</v>
      </c>
      <c r="F14" s="1343">
        <v>11854</v>
      </c>
      <c r="G14" s="1343">
        <v>107189</v>
      </c>
      <c r="H14" s="1343">
        <v>0</v>
      </c>
      <c r="I14" s="1343">
        <v>0</v>
      </c>
      <c r="J14" s="1343">
        <v>0</v>
      </c>
      <c r="K14" s="1343">
        <v>0</v>
      </c>
      <c r="L14" s="1340">
        <f t="shared" si="0"/>
        <v>107189</v>
      </c>
      <c r="M14" s="1343">
        <v>115689</v>
      </c>
    </row>
    <row r="15" spans="2:14" ht="20.100000000000001" customHeight="1" x14ac:dyDescent="0.2">
      <c r="B15" s="1955" t="s">
        <v>2132</v>
      </c>
      <c r="C15" s="1957" t="s">
        <v>2114</v>
      </c>
      <c r="D15" s="1342" t="s">
        <v>2117</v>
      </c>
      <c r="E15" s="1958">
        <v>0</v>
      </c>
      <c r="F15" s="1958">
        <v>88115</v>
      </c>
      <c r="G15" s="1958">
        <v>0</v>
      </c>
      <c r="H15" s="1958">
        <v>0</v>
      </c>
      <c r="I15" s="1958">
        <v>98466</v>
      </c>
      <c r="J15" s="1958">
        <v>0</v>
      </c>
      <c r="K15" s="1958">
        <v>0</v>
      </c>
      <c r="L15" s="1959">
        <f t="shared" si="0"/>
        <v>98466</v>
      </c>
      <c r="M15" s="1343">
        <v>113084</v>
      </c>
    </row>
    <row r="16" spans="2:14" ht="20.100000000000001" customHeight="1" x14ac:dyDescent="0.2">
      <c r="B16" s="1337"/>
      <c r="C16" s="1341"/>
      <c r="D16" s="1342"/>
      <c r="E16" s="1960">
        <f>SUM(E14:E15)</f>
        <v>95335</v>
      </c>
      <c r="F16" s="1960">
        <f t="shared" ref="F16:K16" si="1">SUM(F14:F15)</f>
        <v>99969</v>
      </c>
      <c r="G16" s="1960">
        <f t="shared" si="1"/>
        <v>107189</v>
      </c>
      <c r="H16" s="1960">
        <f t="shared" si="1"/>
        <v>0</v>
      </c>
      <c r="I16" s="1960">
        <f t="shared" si="1"/>
        <v>98466</v>
      </c>
      <c r="J16" s="1960">
        <f t="shared" si="1"/>
        <v>0</v>
      </c>
      <c r="K16" s="1960">
        <f t="shared" si="1"/>
        <v>0</v>
      </c>
      <c r="L16" s="1960">
        <f t="shared" si="0"/>
        <v>205655</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955" t="s">
        <v>2118</v>
      </c>
      <c r="C18" s="1956"/>
      <c r="D18" s="1961"/>
      <c r="E18" s="1343"/>
      <c r="F18" s="1343"/>
      <c r="G18" s="1343"/>
      <c r="H18" s="1343"/>
      <c r="I18" s="1343"/>
      <c r="J18" s="1343"/>
      <c r="K18" s="1343"/>
      <c r="L18" s="1340">
        <f t="shared" si="0"/>
        <v>0</v>
      </c>
      <c r="M18" s="1343"/>
    </row>
    <row r="19" spans="2:14" ht="20.100000000000001" customHeight="1" x14ac:dyDescent="0.2">
      <c r="B19" s="1955" t="s">
        <v>2120</v>
      </c>
      <c r="C19" s="1957" t="s">
        <v>2119</v>
      </c>
      <c r="D19" s="1962" t="s">
        <v>2123</v>
      </c>
      <c r="E19" s="1343">
        <v>1631399</v>
      </c>
      <c r="F19" s="1343">
        <v>590926</v>
      </c>
      <c r="G19" s="1963">
        <v>2228825</v>
      </c>
      <c r="H19" s="1343">
        <v>0</v>
      </c>
      <c r="I19" s="1343">
        <v>0</v>
      </c>
      <c r="J19" s="1343">
        <v>0</v>
      </c>
      <c r="K19" s="1343"/>
      <c r="L19" s="1340">
        <f t="shared" si="0"/>
        <v>2228825</v>
      </c>
      <c r="M19" s="1343"/>
    </row>
    <row r="20" spans="2:14" ht="20.100000000000001" customHeight="1" x14ac:dyDescent="0.2">
      <c r="B20" s="1955" t="s">
        <v>2120</v>
      </c>
      <c r="C20" s="1957" t="s">
        <v>2119</v>
      </c>
      <c r="D20" s="1962" t="s">
        <v>2124</v>
      </c>
      <c r="E20" s="1958">
        <v>683304</v>
      </c>
      <c r="F20" s="1958">
        <v>6500</v>
      </c>
      <c r="G20" s="1958">
        <v>683304</v>
      </c>
      <c r="H20" s="1964">
        <v>0</v>
      </c>
      <c r="I20" s="1958">
        <v>0</v>
      </c>
      <c r="J20" s="1958">
        <v>6500</v>
      </c>
      <c r="K20" s="1958"/>
      <c r="L20" s="1959">
        <f t="shared" si="0"/>
        <v>683304</v>
      </c>
      <c r="M20" s="1343"/>
    </row>
    <row r="21" spans="2:14" ht="20.100000000000001" customHeight="1" x14ac:dyDescent="0.2">
      <c r="B21" s="1955" t="s">
        <v>2121</v>
      </c>
      <c r="C21" s="1957"/>
      <c r="D21" s="1962"/>
      <c r="E21" s="1960">
        <f>SUM(E19:E20)</f>
        <v>2314703</v>
      </c>
      <c r="F21" s="1960">
        <f>SUM(F19:F20)</f>
        <v>597426</v>
      </c>
      <c r="G21" s="1960">
        <f t="shared" ref="G21:K21" si="2">SUM(G19:G20)</f>
        <v>2912129</v>
      </c>
      <c r="H21" s="1960">
        <f t="shared" si="2"/>
        <v>0</v>
      </c>
      <c r="I21" s="1960">
        <f t="shared" si="2"/>
        <v>0</v>
      </c>
      <c r="J21" s="1960">
        <f t="shared" si="2"/>
        <v>6500</v>
      </c>
      <c r="K21" s="1960">
        <f t="shared" si="2"/>
        <v>0</v>
      </c>
      <c r="L21" s="1960">
        <f t="shared" si="0"/>
        <v>2912129</v>
      </c>
      <c r="M21" s="1343"/>
    </row>
    <row r="22" spans="2:14" ht="20.100000000000001" customHeight="1" x14ac:dyDescent="0.2">
      <c r="B22" s="1955" t="s">
        <v>2122</v>
      </c>
      <c r="C22" s="1957" t="s">
        <v>2119</v>
      </c>
      <c r="D22" s="1962" t="s">
        <v>2125</v>
      </c>
      <c r="E22" s="1340">
        <v>0</v>
      </c>
      <c r="F22" s="1340">
        <v>2103128</v>
      </c>
      <c r="G22" s="1340"/>
      <c r="H22" s="1340"/>
      <c r="I22" s="1340">
        <v>2624751</v>
      </c>
      <c r="J22" s="1340"/>
      <c r="K22" s="1340"/>
      <c r="L22" s="1340">
        <f t="shared" si="0"/>
        <v>2624751</v>
      </c>
      <c r="M22" s="1343"/>
    </row>
    <row r="23" spans="2:14" ht="20.100000000000001" customHeight="1" x14ac:dyDescent="0.2">
      <c r="B23" s="1955" t="s">
        <v>2122</v>
      </c>
      <c r="C23" s="1956" t="s">
        <v>2119</v>
      </c>
      <c r="D23" s="1961" t="s">
        <v>2126</v>
      </c>
      <c r="E23" s="1958">
        <v>0</v>
      </c>
      <c r="F23" s="1958">
        <v>595000</v>
      </c>
      <c r="G23" s="1958">
        <v>0</v>
      </c>
      <c r="H23" s="1958">
        <v>0</v>
      </c>
      <c r="I23" s="1958">
        <v>0</v>
      </c>
      <c r="J23" s="1958">
        <v>595000</v>
      </c>
      <c r="K23" s="1958">
        <v>0</v>
      </c>
      <c r="L23" s="1959">
        <f t="shared" si="0"/>
        <v>0</v>
      </c>
      <c r="M23" s="1343"/>
    </row>
    <row r="24" spans="2:14" ht="20.100000000000001" customHeight="1" x14ac:dyDescent="0.2">
      <c r="B24" s="1955" t="s">
        <v>2127</v>
      </c>
      <c r="C24" s="1341"/>
      <c r="D24" s="1342"/>
      <c r="E24" s="1960">
        <f>SUM(E22:E23)</f>
        <v>0</v>
      </c>
      <c r="F24" s="1960">
        <f t="shared" ref="F24:K24" si="3">SUM(F22:F23)</f>
        <v>2698128</v>
      </c>
      <c r="G24" s="1960">
        <f t="shared" si="3"/>
        <v>0</v>
      </c>
      <c r="H24" s="1960">
        <f t="shared" si="3"/>
        <v>0</v>
      </c>
      <c r="I24" s="1960">
        <f t="shared" si="3"/>
        <v>2624751</v>
      </c>
      <c r="J24" s="1960">
        <f t="shared" si="3"/>
        <v>595000</v>
      </c>
      <c r="K24" s="1960">
        <f t="shared" si="3"/>
        <v>0</v>
      </c>
      <c r="L24" s="1960">
        <f t="shared" si="0"/>
        <v>2624751</v>
      </c>
      <c r="M24" s="1343"/>
    </row>
    <row r="25" spans="2:14" ht="20.100000000000001" customHeight="1" x14ac:dyDescent="0.2">
      <c r="B25" s="1337"/>
      <c r="C25" s="1341"/>
      <c r="D25" s="1342"/>
      <c r="E25" s="1959"/>
      <c r="F25" s="1959"/>
      <c r="G25" s="1959"/>
      <c r="H25" s="1959"/>
      <c r="I25" s="1959"/>
      <c r="J25" s="1959"/>
      <c r="K25" s="1959"/>
      <c r="L25" s="1959">
        <f t="shared" si="0"/>
        <v>0</v>
      </c>
      <c r="M25" s="1343"/>
    </row>
    <row r="26" spans="2:14" ht="20.100000000000001" customHeight="1" x14ac:dyDescent="0.2">
      <c r="B26" s="1337" t="s">
        <v>2128</v>
      </c>
      <c r="C26" s="1341"/>
      <c r="D26" s="1342"/>
      <c r="E26" s="1960">
        <f>SUM(E21+E24)</f>
        <v>2314703</v>
      </c>
      <c r="F26" s="1960">
        <f t="shared" ref="F26:K26" si="4">SUM(F21+F24)</f>
        <v>3295554</v>
      </c>
      <c r="G26" s="1960">
        <f t="shared" si="4"/>
        <v>2912129</v>
      </c>
      <c r="H26" s="1960">
        <f t="shared" si="4"/>
        <v>0</v>
      </c>
      <c r="I26" s="1960">
        <f t="shared" si="4"/>
        <v>2624751</v>
      </c>
      <c r="J26" s="1960">
        <f t="shared" si="4"/>
        <v>601500</v>
      </c>
      <c r="K26" s="1960">
        <f t="shared" si="4"/>
        <v>0</v>
      </c>
      <c r="L26" s="1960">
        <f t="shared" si="0"/>
        <v>5536880</v>
      </c>
      <c r="M26" s="1343"/>
    </row>
    <row r="27" spans="2:14" ht="20.100000000000001" customHeight="1" x14ac:dyDescent="0.2">
      <c r="B27" s="1337"/>
      <c r="C27" s="1341"/>
      <c r="D27" s="1342"/>
      <c r="E27" s="1340"/>
      <c r="F27" s="1340"/>
      <c r="G27" s="1340"/>
      <c r="H27" s="1340"/>
      <c r="I27" s="1340"/>
      <c r="J27" s="1340"/>
      <c r="K27" s="1340"/>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31&amp;R&amp;8Page 31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1230</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8" t="s">
        <v>1731</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331</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1390</v>
      </c>
      <c r="B70" s="2121"/>
      <c r="C70" s="2121"/>
      <c r="D70" s="2121"/>
      <c r="E70" s="2122"/>
      <c r="F70" s="2122"/>
      <c r="G70" s="2122"/>
      <c r="H70" s="2122"/>
      <c r="I70" s="212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1387</v>
      </c>
      <c r="B83" s="2123"/>
      <c r="C83" s="2123"/>
      <c r="D83" s="212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5" t="s">
        <v>2224</v>
      </c>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2225</v>
      </c>
      <c r="D114" s="211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1397</v>
      </c>
      <c r="D117" s="2116"/>
      <c r="E117" s="2117"/>
      <c r="F117" s="2117"/>
      <c r="G117" s="2117"/>
      <c r="H117" s="2117"/>
      <c r="I117" s="304"/>
    </row>
    <row r="118" spans="1:9" s="181" customFormat="1" ht="24" customHeight="1" x14ac:dyDescent="0.2">
      <c r="A118" s="316"/>
      <c r="B118" s="316"/>
      <c r="C118" s="316"/>
      <c r="D118"/>
      <c r="E118" s="322"/>
      <c r="F118" s="324"/>
      <c r="G118" s="1855"/>
      <c r="H118" s="322"/>
      <c r="I118" s="304"/>
    </row>
    <row r="119" spans="1:9" s="181" customFormat="1" ht="11.25" customHeight="1" x14ac:dyDescent="0.2">
      <c r="A119" s="325"/>
      <c r="B119" s="325"/>
      <c r="C119" s="326"/>
      <c r="D119" s="327" t="s">
        <v>379</v>
      </c>
      <c r="E119" s="310"/>
      <c r="F119" s="1854" t="s">
        <v>2017</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oddFooter>&amp;L&amp;8Printed: &amp;D  &amp;F</oddFoot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Tri-County SpEd Joint Agreement</v>
      </c>
      <c r="C1" s="2502"/>
      <c r="D1" s="2502"/>
      <c r="E1" s="2502"/>
      <c r="F1" s="2502"/>
      <c r="G1" s="2502"/>
      <c r="H1" s="2502"/>
      <c r="I1" s="2502"/>
      <c r="J1" s="2502"/>
      <c r="K1" s="2502"/>
      <c r="L1" s="2502"/>
      <c r="M1" s="2502"/>
    </row>
    <row r="2" spans="2:14" ht="15" x14ac:dyDescent="0.2">
      <c r="B2" s="2499">
        <f>'Single Audit Cover'!E7</f>
        <v>30039186061</v>
      </c>
      <c r="C2" s="2499"/>
      <c r="D2" s="2499"/>
      <c r="E2" s="2499"/>
      <c r="F2" s="2499"/>
      <c r="G2" s="2499"/>
      <c r="H2" s="2499"/>
      <c r="I2" s="2499"/>
      <c r="J2" s="2499"/>
      <c r="K2" s="2499"/>
      <c r="L2" s="2499"/>
      <c r="M2" s="2499"/>
      <c r="N2" s="1302"/>
    </row>
    <row r="3" spans="2:14" ht="15" x14ac:dyDescent="0.2">
      <c r="B3" s="2503" t="s">
        <v>1281</v>
      </c>
      <c r="C3" s="2503"/>
      <c r="D3" s="2503"/>
      <c r="E3" s="2503"/>
      <c r="F3" s="2503"/>
      <c r="G3" s="2503"/>
      <c r="H3" s="2503"/>
      <c r="I3" s="2503"/>
      <c r="J3" s="2503"/>
      <c r="K3" s="2503"/>
      <c r="L3" s="2503"/>
      <c r="M3" s="2503"/>
      <c r="N3" s="1302"/>
    </row>
    <row r="4" spans="2:14" ht="15" x14ac:dyDescent="0.2">
      <c r="B4" s="2504" t="str">
        <f>'Single Audit Cover'!A4</f>
        <v>Year Ending June 30, 2018</v>
      </c>
      <c r="C4" s="2504"/>
      <c r="D4" s="2504"/>
      <c r="E4" s="2504"/>
      <c r="F4" s="2504"/>
      <c r="G4" s="2504"/>
      <c r="H4" s="2504"/>
      <c r="I4" s="2504"/>
      <c r="J4" s="2504"/>
      <c r="K4" s="2504"/>
      <c r="L4" s="2504"/>
      <c r="M4" s="250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2111</v>
      </c>
      <c r="C11" s="1338"/>
      <c r="D11" s="1339"/>
      <c r="E11" s="1340"/>
      <c r="F11" s="1340"/>
      <c r="G11" s="1340"/>
      <c r="H11" s="1340"/>
      <c r="I11" s="1340"/>
      <c r="J11" s="1340"/>
      <c r="K11" s="1340"/>
      <c r="L11" s="1340">
        <f>+G11+I11+K11</f>
        <v>0</v>
      </c>
      <c r="M11" s="1340"/>
    </row>
    <row r="12" spans="2:14" ht="25.5" customHeight="1" x14ac:dyDescent="0.2">
      <c r="B12" s="1954" t="s">
        <v>2129</v>
      </c>
      <c r="C12" s="1341"/>
      <c r="D12" s="1342"/>
      <c r="E12" s="1343"/>
      <c r="F12" s="1343"/>
      <c r="G12" s="1343"/>
      <c r="H12" s="1343"/>
      <c r="I12" s="1343"/>
      <c r="J12" s="1343"/>
      <c r="K12" s="1343"/>
      <c r="L12" s="1340">
        <f t="shared" ref="L12:L27" si="0">+G12+I12+K12</f>
        <v>0</v>
      </c>
      <c r="M12" s="1343"/>
    </row>
    <row r="13" spans="2:14" ht="20.100000000000001" customHeight="1" x14ac:dyDescent="0.2">
      <c r="B13" s="1955" t="s">
        <v>2130</v>
      </c>
      <c r="C13" s="1956"/>
      <c r="D13" s="1961"/>
      <c r="E13" s="1958"/>
      <c r="F13" s="1958"/>
      <c r="G13" s="1958"/>
      <c r="H13" s="1958"/>
      <c r="I13" s="1958"/>
      <c r="J13" s="1958"/>
      <c r="K13" s="1958"/>
      <c r="L13" s="1959">
        <f t="shared" si="0"/>
        <v>0</v>
      </c>
      <c r="M13" s="1343"/>
    </row>
    <row r="14" spans="2:14" ht="20.100000000000001" customHeight="1" x14ac:dyDescent="0.2">
      <c r="B14" s="1955" t="s">
        <v>2132</v>
      </c>
      <c r="C14" s="1956">
        <v>84.366</v>
      </c>
      <c r="D14" s="1961" t="s">
        <v>2133</v>
      </c>
      <c r="E14" s="1960">
        <v>0</v>
      </c>
      <c r="F14" s="1960">
        <v>5809</v>
      </c>
      <c r="G14" s="1960">
        <v>0</v>
      </c>
      <c r="H14" s="1960">
        <v>0</v>
      </c>
      <c r="I14" s="1960">
        <v>5809</v>
      </c>
      <c r="J14" s="1960">
        <v>0</v>
      </c>
      <c r="K14" s="1960">
        <v>0</v>
      </c>
      <c r="L14" s="1960">
        <f t="shared" si="0"/>
        <v>5809</v>
      </c>
      <c r="M14" s="1343"/>
    </row>
    <row r="15" spans="2:14" ht="20.100000000000001" customHeight="1" x14ac:dyDescent="0.2">
      <c r="B15" s="1337" t="s">
        <v>1231</v>
      </c>
      <c r="C15" s="1341"/>
      <c r="D15" s="1342"/>
      <c r="E15" s="1340"/>
      <c r="F15" s="1340"/>
      <c r="G15" s="1340"/>
      <c r="H15" s="1340"/>
      <c r="I15" s="1340"/>
      <c r="J15" s="1340"/>
      <c r="K15" s="1340"/>
      <c r="L15" s="1340">
        <f t="shared" si="0"/>
        <v>0</v>
      </c>
      <c r="M15" s="1343"/>
    </row>
    <row r="16" spans="2:14" ht="20.100000000000001" customHeight="1" x14ac:dyDescent="0.2">
      <c r="B16" s="1954" t="s">
        <v>2134</v>
      </c>
      <c r="C16" s="1956"/>
      <c r="D16" s="1961"/>
      <c r="E16" s="1343"/>
      <c r="F16" s="1343"/>
      <c r="G16" s="1343"/>
      <c r="H16" s="1343"/>
      <c r="I16" s="1343"/>
      <c r="J16" s="1343"/>
      <c r="K16" s="1343"/>
      <c r="L16" s="1340">
        <f t="shared" si="0"/>
        <v>0</v>
      </c>
      <c r="M16" s="1343"/>
    </row>
    <row r="17" spans="2:14" ht="20.100000000000001" customHeight="1" x14ac:dyDescent="0.2">
      <c r="B17" s="1955" t="s">
        <v>2135</v>
      </c>
      <c r="C17" s="1965"/>
      <c r="D17" s="1965"/>
      <c r="E17" s="1343"/>
      <c r="F17" s="1343"/>
      <c r="G17" s="1343"/>
      <c r="H17" s="1343"/>
      <c r="I17" s="1343"/>
      <c r="J17" s="1343"/>
      <c r="K17" s="1343"/>
      <c r="L17" s="1340">
        <f t="shared" si="0"/>
        <v>0</v>
      </c>
      <c r="M17" s="1343"/>
    </row>
    <row r="18" spans="2:14" ht="20.100000000000001" customHeight="1" x14ac:dyDescent="0.2">
      <c r="B18" s="1955" t="s">
        <v>2131</v>
      </c>
      <c r="C18" s="1966">
        <v>84.126000000000005</v>
      </c>
      <c r="D18" s="1967" t="s">
        <v>2136</v>
      </c>
      <c r="E18" s="1343">
        <v>88486</v>
      </c>
      <c r="F18" s="1343">
        <v>21679</v>
      </c>
      <c r="G18" s="1343">
        <v>110165</v>
      </c>
      <c r="H18" s="1343">
        <v>0</v>
      </c>
      <c r="I18" s="1343">
        <v>0</v>
      </c>
      <c r="J18" s="1343">
        <v>0</v>
      </c>
      <c r="K18" s="1343">
        <v>0</v>
      </c>
      <c r="L18" s="1340">
        <f t="shared" si="0"/>
        <v>110165</v>
      </c>
      <c r="M18" s="1343"/>
    </row>
    <row r="19" spans="2:14" ht="20.100000000000001" customHeight="1" x14ac:dyDescent="0.2">
      <c r="B19" s="1955" t="s">
        <v>2132</v>
      </c>
      <c r="C19" s="1341">
        <v>84.126000000000005</v>
      </c>
      <c r="D19" s="1342" t="s">
        <v>2137</v>
      </c>
      <c r="E19" s="1958">
        <v>0</v>
      </c>
      <c r="F19" s="1958">
        <v>84000</v>
      </c>
      <c r="G19" s="1958">
        <v>0</v>
      </c>
      <c r="H19" s="1958">
        <v>0</v>
      </c>
      <c r="I19" s="1958">
        <v>71370</v>
      </c>
      <c r="J19" s="1958">
        <v>0</v>
      </c>
      <c r="K19" s="1958">
        <v>0</v>
      </c>
      <c r="L19" s="1959">
        <f t="shared" si="0"/>
        <v>71370</v>
      </c>
      <c r="M19" s="1343"/>
    </row>
    <row r="20" spans="2:14" ht="20.100000000000001" customHeight="1" x14ac:dyDescent="0.2">
      <c r="B20" s="1337"/>
      <c r="C20" s="1341"/>
      <c r="D20" s="1342"/>
      <c r="E20" s="1960">
        <f>SUM(E18:E19)</f>
        <v>88486</v>
      </c>
      <c r="F20" s="1960">
        <f t="shared" ref="F20:K20" si="1">SUM(F18:F19)</f>
        <v>105679</v>
      </c>
      <c r="G20" s="1960">
        <f t="shared" si="1"/>
        <v>110165</v>
      </c>
      <c r="H20" s="1960">
        <f t="shared" si="1"/>
        <v>0</v>
      </c>
      <c r="I20" s="1960">
        <f t="shared" si="1"/>
        <v>71370</v>
      </c>
      <c r="J20" s="1960">
        <f t="shared" si="1"/>
        <v>0</v>
      </c>
      <c r="K20" s="1960">
        <f t="shared" si="1"/>
        <v>0</v>
      </c>
      <c r="L20" s="1960">
        <f t="shared" si="0"/>
        <v>181535</v>
      </c>
      <c r="M20" s="1343"/>
    </row>
    <row r="21" spans="2:14" ht="20.100000000000001" customHeight="1" x14ac:dyDescent="0.2">
      <c r="B21" s="1955" t="s">
        <v>2138</v>
      </c>
      <c r="C21" s="1956"/>
      <c r="D21" s="1961"/>
      <c r="E21" s="1340"/>
      <c r="F21" s="1340"/>
      <c r="G21" s="1340"/>
      <c r="H21" s="1340"/>
      <c r="I21" s="1340"/>
      <c r="J21" s="1340"/>
      <c r="K21" s="1340"/>
      <c r="L21" s="1340">
        <f t="shared" si="0"/>
        <v>0</v>
      </c>
      <c r="M21" s="1343"/>
    </row>
    <row r="22" spans="2:14" ht="20.100000000000001" customHeight="1" x14ac:dyDescent="0.2">
      <c r="B22" s="1955" t="s">
        <v>2131</v>
      </c>
      <c r="C22" s="1957">
        <v>84.126000000000005</v>
      </c>
      <c r="D22" s="1962" t="s">
        <v>2136</v>
      </c>
      <c r="E22" s="1343">
        <v>59995</v>
      </c>
      <c r="F22" s="1343">
        <v>10005</v>
      </c>
      <c r="G22" s="1343">
        <v>70000</v>
      </c>
      <c r="H22" s="1343">
        <v>0</v>
      </c>
      <c r="I22" s="1343">
        <v>0</v>
      </c>
      <c r="J22" s="1343">
        <v>0</v>
      </c>
      <c r="K22" s="1343">
        <v>0</v>
      </c>
      <c r="L22" s="1340">
        <f t="shared" si="0"/>
        <v>70000</v>
      </c>
      <c r="M22" s="1343"/>
    </row>
    <row r="23" spans="2:14" ht="20.100000000000001" customHeight="1" x14ac:dyDescent="0.2">
      <c r="B23" s="1955" t="s">
        <v>2132</v>
      </c>
      <c r="C23" s="1341">
        <v>84.126000000000005</v>
      </c>
      <c r="D23" s="1342" t="s">
        <v>2137</v>
      </c>
      <c r="E23" s="1958">
        <v>0</v>
      </c>
      <c r="F23" s="1958">
        <v>46054</v>
      </c>
      <c r="G23" s="1958">
        <v>0</v>
      </c>
      <c r="H23" s="1958">
        <v>0</v>
      </c>
      <c r="I23" s="1958">
        <v>58675</v>
      </c>
      <c r="J23" s="1958">
        <v>0</v>
      </c>
      <c r="K23" s="1958">
        <v>0</v>
      </c>
      <c r="L23" s="1959">
        <f t="shared" si="0"/>
        <v>58675</v>
      </c>
      <c r="M23" s="1343"/>
    </row>
    <row r="24" spans="2:14" ht="20.100000000000001" customHeight="1" x14ac:dyDescent="0.2">
      <c r="B24" s="1337"/>
      <c r="C24" s="1341"/>
      <c r="D24" s="1342"/>
      <c r="E24" s="1960">
        <f>SUM(E22:E23)</f>
        <v>59995</v>
      </c>
      <c r="F24" s="1960">
        <f t="shared" ref="F24:K24" si="2">SUM(F22:F23)</f>
        <v>56059</v>
      </c>
      <c r="G24" s="1960">
        <f t="shared" si="2"/>
        <v>70000</v>
      </c>
      <c r="H24" s="1960">
        <f t="shared" si="2"/>
        <v>0</v>
      </c>
      <c r="I24" s="1960">
        <f t="shared" si="2"/>
        <v>58675</v>
      </c>
      <c r="J24" s="1960">
        <f t="shared" si="2"/>
        <v>0</v>
      </c>
      <c r="K24" s="1960">
        <f t="shared" si="2"/>
        <v>0</v>
      </c>
      <c r="L24" s="1960">
        <f t="shared" si="0"/>
        <v>128675</v>
      </c>
      <c r="M24" s="1343"/>
    </row>
    <row r="25" spans="2:14" ht="23.25" customHeight="1" x14ac:dyDescent="0.2">
      <c r="B25" s="1968" t="s">
        <v>2139</v>
      </c>
      <c r="C25" s="1341"/>
      <c r="D25" s="1342"/>
      <c r="E25" s="1960">
        <f>SUM(E20+E24)</f>
        <v>148481</v>
      </c>
      <c r="F25" s="1960">
        <f t="shared" ref="F25:K25" si="3">SUM(F20+F24)</f>
        <v>161738</v>
      </c>
      <c r="G25" s="1960">
        <f t="shared" si="3"/>
        <v>180165</v>
      </c>
      <c r="H25" s="1960">
        <f t="shared" si="3"/>
        <v>0</v>
      </c>
      <c r="I25" s="1960">
        <f t="shared" si="3"/>
        <v>130045</v>
      </c>
      <c r="J25" s="1960">
        <f t="shared" si="3"/>
        <v>0</v>
      </c>
      <c r="K25" s="1960">
        <f t="shared" si="3"/>
        <v>0</v>
      </c>
      <c r="L25" s="1960">
        <f t="shared" si="0"/>
        <v>310210</v>
      </c>
      <c r="M25" s="1343"/>
    </row>
    <row r="26" spans="2:14" ht="20.100000000000001" customHeight="1" x14ac:dyDescent="0.2">
      <c r="B26" s="1337"/>
      <c r="C26" s="1341"/>
      <c r="D26" s="1342"/>
      <c r="E26" s="1959"/>
      <c r="F26" s="1959"/>
      <c r="G26" s="1959"/>
      <c r="H26" s="1959"/>
      <c r="I26" s="1959"/>
      <c r="J26" s="1959"/>
      <c r="K26" s="1959"/>
      <c r="L26" s="1959">
        <f t="shared" si="0"/>
        <v>0</v>
      </c>
      <c r="M26" s="1343"/>
    </row>
    <row r="27" spans="2:14" ht="20.100000000000001" customHeight="1" thickBot="1" x14ac:dyDescent="0.25">
      <c r="B27" s="1954" t="s">
        <v>2140</v>
      </c>
      <c r="C27" s="1341"/>
      <c r="D27" s="1342"/>
      <c r="E27" s="1969">
        <f>SUM(E25+E14+' SEFA'!E26+' SEFA'!E16)</f>
        <v>2558519</v>
      </c>
      <c r="F27" s="1969">
        <f>SUM(F25+F14+' SEFA'!F26+' SEFA'!F16)</f>
        <v>3563070</v>
      </c>
      <c r="G27" s="1969">
        <f>SUM(G25+G14+' SEFA'!G26+' SEFA'!G16)</f>
        <v>3199483</v>
      </c>
      <c r="H27" s="1969">
        <f>SUM(H25+H14+' SEFA'!H26+' SEFA'!H16)</f>
        <v>0</v>
      </c>
      <c r="I27" s="1969">
        <f>SUM(I25+I14+' SEFA'!I26+' SEFA'!I16)</f>
        <v>2859071</v>
      </c>
      <c r="J27" s="1969">
        <f>SUM(J25+J14+' SEFA'!J26+' SEFA'!J16)</f>
        <v>601500</v>
      </c>
      <c r="K27" s="1969">
        <f>SUM(K25+K14+' SEFA'!K26+' SEFA'!K16)</f>
        <v>0</v>
      </c>
      <c r="L27" s="1969">
        <f t="shared" si="0"/>
        <v>6058554</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32&amp;R&amp;8Page 32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Tri-County SpEd Joint Agreement</v>
      </c>
      <c r="C1" s="2502"/>
      <c r="D1" s="2502"/>
      <c r="E1" s="2502"/>
      <c r="F1" s="2502"/>
      <c r="G1" s="2502"/>
      <c r="H1" s="2502"/>
      <c r="I1" s="2502"/>
      <c r="J1" s="2502"/>
      <c r="K1" s="2502"/>
      <c r="L1" s="2502"/>
      <c r="M1" s="2502"/>
    </row>
    <row r="2" spans="2:14" ht="15" x14ac:dyDescent="0.2">
      <c r="B2" s="2499">
        <f>'Single Audit Cover'!E7</f>
        <v>30039186061</v>
      </c>
      <c r="C2" s="2499"/>
      <c r="D2" s="2499"/>
      <c r="E2" s="2499"/>
      <c r="F2" s="2499"/>
      <c r="G2" s="2499"/>
      <c r="H2" s="2499"/>
      <c r="I2" s="2499"/>
      <c r="J2" s="2499"/>
      <c r="K2" s="2499"/>
      <c r="L2" s="2499"/>
      <c r="M2" s="2499"/>
      <c r="N2" s="1302"/>
    </row>
    <row r="3" spans="2:14" ht="15" x14ac:dyDescent="0.2">
      <c r="B3" s="2503" t="s">
        <v>1281</v>
      </c>
      <c r="C3" s="2503"/>
      <c r="D3" s="2503"/>
      <c r="E3" s="2503"/>
      <c r="F3" s="2503"/>
      <c r="G3" s="2503"/>
      <c r="H3" s="2503"/>
      <c r="I3" s="2503"/>
      <c r="J3" s="2503"/>
      <c r="K3" s="2503"/>
      <c r="L3" s="2503"/>
      <c r="M3" s="2503"/>
      <c r="N3" s="1302"/>
    </row>
    <row r="4" spans="2:14" ht="15" x14ac:dyDescent="0.2">
      <c r="B4" s="2504" t="str">
        <f>'Single Audit Cover'!A4</f>
        <v>Year Ending June 30, 2018</v>
      </c>
      <c r="C4" s="2504"/>
      <c r="D4" s="2504"/>
      <c r="E4" s="2504"/>
      <c r="F4" s="2504"/>
      <c r="G4" s="2504"/>
      <c r="H4" s="2504"/>
      <c r="I4" s="2504"/>
      <c r="J4" s="2504"/>
      <c r="K4" s="2504"/>
      <c r="L4" s="2504"/>
      <c r="M4" s="250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2141</v>
      </c>
      <c r="C11" s="1970"/>
      <c r="D11" s="1971"/>
      <c r="E11" s="1340"/>
      <c r="F11" s="1340"/>
      <c r="G11" s="1340"/>
      <c r="H11" s="1340"/>
      <c r="I11" s="1340"/>
      <c r="J11" s="1340"/>
      <c r="K11" s="1340"/>
      <c r="L11" s="1340">
        <f>+G11+I11+K11</f>
        <v>0</v>
      </c>
      <c r="M11" s="1340"/>
    </row>
    <row r="12" spans="2:14" ht="21.75" customHeight="1" x14ac:dyDescent="0.2">
      <c r="B12" s="1954" t="s">
        <v>2112</v>
      </c>
      <c r="C12" s="1956"/>
      <c r="D12" s="1961"/>
      <c r="E12" s="1343"/>
      <c r="F12" s="1343"/>
      <c r="G12" s="1343"/>
      <c r="H12" s="1343"/>
      <c r="I12" s="1343"/>
      <c r="J12" s="1343"/>
      <c r="K12" s="1343"/>
      <c r="L12" s="1340">
        <f t="shared" ref="L12:L27" si="0">+G12+I12+K12</f>
        <v>0</v>
      </c>
      <c r="M12" s="1343"/>
    </row>
    <row r="13" spans="2:14" ht="20.100000000000001" customHeight="1" x14ac:dyDescent="0.2">
      <c r="B13" s="1955" t="s">
        <v>2142</v>
      </c>
      <c r="C13" s="1957"/>
      <c r="D13" s="1962"/>
      <c r="E13" s="1343"/>
      <c r="F13" s="1343"/>
      <c r="G13" s="1343"/>
      <c r="H13" s="1343"/>
      <c r="I13" s="1343"/>
      <c r="J13" s="1343"/>
      <c r="K13" s="1343"/>
      <c r="L13" s="1340">
        <f t="shared" si="0"/>
        <v>0</v>
      </c>
      <c r="M13" s="1343"/>
    </row>
    <row r="14" spans="2:14" ht="20.100000000000001" customHeight="1" x14ac:dyDescent="0.2">
      <c r="B14" s="1955" t="s">
        <v>2131</v>
      </c>
      <c r="C14" s="1957">
        <v>10.555</v>
      </c>
      <c r="D14" s="1962" t="s">
        <v>2143</v>
      </c>
      <c r="E14" s="1343">
        <v>130397</v>
      </c>
      <c r="F14" s="1343">
        <v>27198</v>
      </c>
      <c r="G14" s="1343">
        <v>130397</v>
      </c>
      <c r="H14" s="1343">
        <v>0</v>
      </c>
      <c r="I14" s="1343">
        <v>27198</v>
      </c>
      <c r="J14" s="1343">
        <v>0</v>
      </c>
      <c r="K14" s="1343">
        <v>0</v>
      </c>
      <c r="L14" s="1340">
        <f t="shared" si="0"/>
        <v>157595</v>
      </c>
      <c r="M14" s="1343"/>
    </row>
    <row r="15" spans="2:14" ht="20.100000000000001" customHeight="1" x14ac:dyDescent="0.2">
      <c r="B15" s="1955" t="s">
        <v>2132</v>
      </c>
      <c r="C15" s="1957">
        <v>10.555</v>
      </c>
      <c r="D15" s="1962" t="s">
        <v>2145</v>
      </c>
      <c r="E15" s="1958">
        <v>0</v>
      </c>
      <c r="F15" s="1958">
        <v>135823</v>
      </c>
      <c r="G15" s="1958">
        <v>0</v>
      </c>
      <c r="H15" s="1958">
        <v>0</v>
      </c>
      <c r="I15" s="1958">
        <v>135823</v>
      </c>
      <c r="J15" s="1958">
        <v>0</v>
      </c>
      <c r="K15" s="1958">
        <v>0</v>
      </c>
      <c r="L15" s="1959">
        <f t="shared" si="0"/>
        <v>135823</v>
      </c>
      <c r="M15" s="1343"/>
    </row>
    <row r="16" spans="2:14" ht="20.100000000000001" customHeight="1" x14ac:dyDescent="0.2">
      <c r="B16" s="1968" t="s">
        <v>2144</v>
      </c>
      <c r="C16" s="1956"/>
      <c r="D16" s="1961"/>
      <c r="E16" s="1960">
        <f t="shared" ref="E16:K16" si="1">SUM(E14:E15)</f>
        <v>130397</v>
      </c>
      <c r="F16" s="1960">
        <f t="shared" si="1"/>
        <v>163021</v>
      </c>
      <c r="G16" s="1960">
        <f t="shared" si="1"/>
        <v>130397</v>
      </c>
      <c r="H16" s="1960">
        <f t="shared" si="1"/>
        <v>0</v>
      </c>
      <c r="I16" s="1960">
        <f t="shared" si="1"/>
        <v>163021</v>
      </c>
      <c r="J16" s="1960">
        <f t="shared" si="1"/>
        <v>0</v>
      </c>
      <c r="K16" s="1960">
        <f t="shared" si="1"/>
        <v>0</v>
      </c>
      <c r="L16" s="1960">
        <f t="shared" si="0"/>
        <v>293418</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955" t="s">
        <v>2146</v>
      </c>
      <c r="C18" s="1957"/>
      <c r="D18" s="1962"/>
      <c r="E18" s="1343"/>
      <c r="F18" s="1343"/>
      <c r="G18" s="1343"/>
      <c r="H18" s="1343"/>
      <c r="I18" s="1343"/>
      <c r="J18" s="1343"/>
      <c r="K18" s="1343"/>
      <c r="L18" s="1340">
        <f t="shared" si="0"/>
        <v>0</v>
      </c>
      <c r="M18" s="1343"/>
    </row>
    <row r="19" spans="2:14" ht="20.100000000000001" customHeight="1" x14ac:dyDescent="0.2">
      <c r="B19" s="1955" t="s">
        <v>2131</v>
      </c>
      <c r="C19" s="1957">
        <v>10.553000000000001</v>
      </c>
      <c r="D19" s="1962" t="s">
        <v>2147</v>
      </c>
      <c r="E19" s="1343">
        <v>74586</v>
      </c>
      <c r="F19" s="1343">
        <v>15988</v>
      </c>
      <c r="G19" s="1343">
        <v>74586</v>
      </c>
      <c r="H19" s="1343">
        <v>0</v>
      </c>
      <c r="I19" s="1343">
        <v>15988</v>
      </c>
      <c r="J19" s="1343">
        <v>0</v>
      </c>
      <c r="K19" s="1343">
        <v>0</v>
      </c>
      <c r="L19" s="1340">
        <f t="shared" si="0"/>
        <v>90574</v>
      </c>
      <c r="M19" s="1343"/>
    </row>
    <row r="20" spans="2:14" ht="20.100000000000001" customHeight="1" x14ac:dyDescent="0.2">
      <c r="B20" s="1955" t="s">
        <v>2132</v>
      </c>
      <c r="C20" s="1957">
        <v>10.553000000000001</v>
      </c>
      <c r="D20" s="1962" t="s">
        <v>2149</v>
      </c>
      <c r="E20" s="1958">
        <v>0</v>
      </c>
      <c r="F20" s="1958">
        <v>78302</v>
      </c>
      <c r="G20" s="1958">
        <v>0</v>
      </c>
      <c r="H20" s="1958">
        <v>0</v>
      </c>
      <c r="I20" s="1958">
        <v>78302</v>
      </c>
      <c r="J20" s="1958">
        <v>0</v>
      </c>
      <c r="K20" s="1958">
        <v>0</v>
      </c>
      <c r="L20" s="1959">
        <f t="shared" si="0"/>
        <v>78302</v>
      </c>
      <c r="M20" s="1343"/>
    </row>
    <row r="21" spans="2:14" ht="20.100000000000001" customHeight="1" x14ac:dyDescent="0.2">
      <c r="B21" s="1968" t="s">
        <v>2148</v>
      </c>
      <c r="C21" s="1956"/>
      <c r="D21" s="1961"/>
      <c r="E21" s="1960">
        <f t="shared" ref="E21:K21" si="2">SUM(E19:E20)</f>
        <v>74586</v>
      </c>
      <c r="F21" s="1960">
        <f t="shared" si="2"/>
        <v>94290</v>
      </c>
      <c r="G21" s="1960">
        <f t="shared" si="2"/>
        <v>74586</v>
      </c>
      <c r="H21" s="1960">
        <f t="shared" si="2"/>
        <v>0</v>
      </c>
      <c r="I21" s="1960">
        <f t="shared" si="2"/>
        <v>94290</v>
      </c>
      <c r="J21" s="1960">
        <f t="shared" si="2"/>
        <v>0</v>
      </c>
      <c r="K21" s="1960">
        <f t="shared" si="2"/>
        <v>0</v>
      </c>
      <c r="L21" s="1960">
        <f t="shared" si="0"/>
        <v>168876</v>
      </c>
      <c r="M21" s="1343"/>
    </row>
    <row r="22" spans="2:14" ht="20.100000000000001" customHeight="1" x14ac:dyDescent="0.2">
      <c r="B22" s="1337"/>
      <c r="C22" s="1341"/>
      <c r="D22" s="1342"/>
      <c r="E22" s="1340"/>
      <c r="F22" s="1340"/>
      <c r="G22" s="1340"/>
      <c r="H22" s="1340"/>
      <c r="I22" s="1340"/>
      <c r="J22" s="1340"/>
      <c r="K22" s="1340"/>
      <c r="L22" s="1340">
        <f t="shared" si="0"/>
        <v>0</v>
      </c>
      <c r="M22" s="1343"/>
    </row>
    <row r="23" spans="2:14" ht="20.100000000000001" customHeight="1" x14ac:dyDescent="0.2">
      <c r="B23" s="1337"/>
      <c r="C23" s="1341"/>
      <c r="D23" s="1342"/>
      <c r="E23" s="1958"/>
      <c r="F23" s="1958"/>
      <c r="G23" s="1958"/>
      <c r="H23" s="1958"/>
      <c r="I23" s="1958"/>
      <c r="J23" s="1958"/>
      <c r="K23" s="1958"/>
      <c r="L23" s="1959">
        <f t="shared" si="0"/>
        <v>0</v>
      </c>
      <c r="M23" s="1343"/>
    </row>
    <row r="24" spans="2:14" ht="20.100000000000001" customHeight="1" x14ac:dyDescent="0.2">
      <c r="B24" s="1968" t="s">
        <v>2157</v>
      </c>
      <c r="C24" s="1341"/>
      <c r="D24" s="1342"/>
      <c r="E24" s="1960">
        <f>SUM(E16+E21)</f>
        <v>204983</v>
      </c>
      <c r="F24" s="1960">
        <f t="shared" ref="F24:K24" si="3">SUM(F16+F21)</f>
        <v>257311</v>
      </c>
      <c r="G24" s="1960">
        <f t="shared" si="3"/>
        <v>204983</v>
      </c>
      <c r="H24" s="1960">
        <f t="shared" si="3"/>
        <v>0</v>
      </c>
      <c r="I24" s="1960">
        <f t="shared" si="3"/>
        <v>257311</v>
      </c>
      <c r="J24" s="1960">
        <f t="shared" si="3"/>
        <v>0</v>
      </c>
      <c r="K24" s="1960">
        <f t="shared" si="3"/>
        <v>0</v>
      </c>
      <c r="L24" s="1960">
        <f t="shared" si="0"/>
        <v>462294</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33&amp;R&amp;8Page 33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Tri-County SpEd Joint Agreement</v>
      </c>
      <c r="C1" s="2502"/>
      <c r="D1" s="2502"/>
      <c r="E1" s="2502"/>
      <c r="F1" s="2502"/>
      <c r="G1" s="2502"/>
      <c r="H1" s="2502"/>
      <c r="I1" s="2502"/>
      <c r="J1" s="2502"/>
      <c r="K1" s="2502"/>
      <c r="L1" s="2502"/>
      <c r="M1" s="2502"/>
    </row>
    <row r="2" spans="2:14" ht="15" x14ac:dyDescent="0.2">
      <c r="B2" s="2499">
        <f>'Single Audit Cover'!E7</f>
        <v>30039186061</v>
      </c>
      <c r="C2" s="2499"/>
      <c r="D2" s="2499"/>
      <c r="E2" s="2499"/>
      <c r="F2" s="2499"/>
      <c r="G2" s="2499"/>
      <c r="H2" s="2499"/>
      <c r="I2" s="2499"/>
      <c r="J2" s="2499"/>
      <c r="K2" s="2499"/>
      <c r="L2" s="2499"/>
      <c r="M2" s="2499"/>
      <c r="N2" s="1302"/>
    </row>
    <row r="3" spans="2:14" ht="15" x14ac:dyDescent="0.2">
      <c r="B3" s="2503" t="s">
        <v>1281</v>
      </c>
      <c r="C3" s="2503"/>
      <c r="D3" s="2503"/>
      <c r="E3" s="2503"/>
      <c r="F3" s="2503"/>
      <c r="G3" s="2503"/>
      <c r="H3" s="2503"/>
      <c r="I3" s="2503"/>
      <c r="J3" s="2503"/>
      <c r="K3" s="2503"/>
      <c r="L3" s="2503"/>
      <c r="M3" s="2503"/>
      <c r="N3" s="1302"/>
    </row>
    <row r="4" spans="2:14" ht="15" x14ac:dyDescent="0.2">
      <c r="B4" s="2504" t="str">
        <f>'Single Audit Cover'!A4</f>
        <v>Year Ending June 30, 2018</v>
      </c>
      <c r="C4" s="2504"/>
      <c r="D4" s="2504"/>
      <c r="E4" s="2504"/>
      <c r="F4" s="2504"/>
      <c r="G4" s="2504"/>
      <c r="H4" s="2504"/>
      <c r="I4" s="2504"/>
      <c r="J4" s="2504"/>
      <c r="K4" s="2504"/>
      <c r="L4" s="2504"/>
      <c r="M4" s="250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2141</v>
      </c>
      <c r="C11" s="1338"/>
      <c r="D11" s="1339"/>
      <c r="E11" s="1340"/>
      <c r="F11" s="1340"/>
      <c r="G11" s="1340"/>
      <c r="H11" s="1340"/>
      <c r="I11" s="1340"/>
      <c r="J11" s="1340"/>
      <c r="K11" s="1340"/>
      <c r="L11" s="1340">
        <f>+G11+I11+K11</f>
        <v>0</v>
      </c>
      <c r="M11" s="1340"/>
    </row>
    <row r="12" spans="2:14" ht="26.25" customHeight="1" x14ac:dyDescent="0.2">
      <c r="B12" s="1954" t="s">
        <v>2112</v>
      </c>
      <c r="C12" s="1341"/>
      <c r="D12" s="1342"/>
      <c r="E12" s="1958"/>
      <c r="F12" s="1958"/>
      <c r="G12" s="1958"/>
      <c r="H12" s="1958"/>
      <c r="I12" s="1958"/>
      <c r="J12" s="1958"/>
      <c r="K12" s="1958"/>
      <c r="L12" s="1959">
        <f t="shared" ref="L12:L27" si="0">+G12+I12+K12</f>
        <v>0</v>
      </c>
      <c r="M12" s="1343"/>
    </row>
    <row r="13" spans="2:14" ht="20.100000000000001" customHeight="1" x14ac:dyDescent="0.2">
      <c r="B13" s="1955" t="s">
        <v>2150</v>
      </c>
      <c r="C13" s="1956">
        <v>10.553000000000001</v>
      </c>
      <c r="D13" s="1342"/>
      <c r="E13" s="1960">
        <v>0</v>
      </c>
      <c r="F13" s="1960">
        <v>8480</v>
      </c>
      <c r="G13" s="1960">
        <v>0</v>
      </c>
      <c r="H13" s="1960">
        <v>0</v>
      </c>
      <c r="I13" s="1960">
        <v>8480</v>
      </c>
      <c r="J13" s="1960">
        <v>0</v>
      </c>
      <c r="K13" s="1960">
        <v>0</v>
      </c>
      <c r="L13" s="1960">
        <f t="shared" si="0"/>
        <v>8480</v>
      </c>
      <c r="M13" s="1343"/>
    </row>
    <row r="14" spans="2:14" ht="20.100000000000001" customHeight="1" x14ac:dyDescent="0.2">
      <c r="B14" s="1337"/>
      <c r="C14" s="1341"/>
      <c r="D14" s="1342"/>
      <c r="E14" s="1340"/>
      <c r="F14" s="1340"/>
      <c r="G14" s="1340"/>
      <c r="H14" s="1340"/>
      <c r="I14" s="1340"/>
      <c r="J14" s="1340"/>
      <c r="K14" s="1340"/>
      <c r="L14" s="1340">
        <f t="shared" si="0"/>
        <v>0</v>
      </c>
      <c r="M14" s="1343"/>
    </row>
    <row r="15" spans="2:14" ht="20.100000000000001" customHeight="1" x14ac:dyDescent="0.2">
      <c r="B15" s="1955" t="s">
        <v>2151</v>
      </c>
      <c r="C15" s="1956"/>
      <c r="D15" s="1961"/>
      <c r="E15" s="1343"/>
      <c r="F15" s="1343"/>
      <c r="G15" s="1343"/>
      <c r="H15" s="1343"/>
      <c r="I15" s="1343"/>
      <c r="J15" s="1343"/>
      <c r="K15" s="1343"/>
      <c r="L15" s="1340">
        <f t="shared" si="0"/>
        <v>0</v>
      </c>
      <c r="M15" s="1343"/>
    </row>
    <row r="16" spans="2:14" ht="20.100000000000001" customHeight="1" x14ac:dyDescent="0.2">
      <c r="B16" s="1955" t="s">
        <v>2131</v>
      </c>
      <c r="C16" s="1956">
        <v>10.582000000000001</v>
      </c>
      <c r="D16" s="1961" t="s">
        <v>2152</v>
      </c>
      <c r="E16" s="1343">
        <v>3906</v>
      </c>
      <c r="F16" s="1343">
        <v>694</v>
      </c>
      <c r="G16" s="1343">
        <v>3906</v>
      </c>
      <c r="H16" s="1343">
        <v>0</v>
      </c>
      <c r="I16" s="1343">
        <v>694</v>
      </c>
      <c r="J16" s="1343">
        <v>0</v>
      </c>
      <c r="K16" s="1343">
        <v>0</v>
      </c>
      <c r="L16" s="1340">
        <f t="shared" si="0"/>
        <v>4600</v>
      </c>
      <c r="M16" s="1343"/>
    </row>
    <row r="17" spans="2:14" ht="20.100000000000001" customHeight="1" x14ac:dyDescent="0.2">
      <c r="B17" s="1955" t="s">
        <v>2132</v>
      </c>
      <c r="C17" s="1956">
        <v>10.582000000000001</v>
      </c>
      <c r="D17" s="1961" t="s">
        <v>2153</v>
      </c>
      <c r="E17" s="1343">
        <v>0</v>
      </c>
      <c r="F17" s="1343">
        <v>3201</v>
      </c>
      <c r="G17" s="1343">
        <v>0</v>
      </c>
      <c r="H17" s="1343">
        <v>0</v>
      </c>
      <c r="I17" s="1343">
        <v>3201</v>
      </c>
      <c r="J17" s="1343">
        <v>0</v>
      </c>
      <c r="K17" s="1343">
        <v>0</v>
      </c>
      <c r="L17" s="1340">
        <f t="shared" si="0"/>
        <v>3201</v>
      </c>
      <c r="M17" s="1343"/>
    </row>
    <row r="18" spans="2:14" ht="20.100000000000001" customHeight="1" x14ac:dyDescent="0.2">
      <c r="B18" s="1955" t="s">
        <v>2132</v>
      </c>
      <c r="C18" s="1956">
        <v>10.582000000000001</v>
      </c>
      <c r="D18" s="1961" t="s">
        <v>2153</v>
      </c>
      <c r="E18" s="1958">
        <v>0</v>
      </c>
      <c r="F18" s="1958">
        <v>11600</v>
      </c>
      <c r="G18" s="1958">
        <v>0</v>
      </c>
      <c r="H18" s="1958">
        <v>0</v>
      </c>
      <c r="I18" s="1958">
        <v>11600</v>
      </c>
      <c r="J18" s="1958">
        <v>0</v>
      </c>
      <c r="K18" s="1958">
        <v>0</v>
      </c>
      <c r="L18" s="1959">
        <f t="shared" si="0"/>
        <v>11600</v>
      </c>
      <c r="M18" s="1343"/>
    </row>
    <row r="19" spans="2:14" ht="20.100000000000001" customHeight="1" x14ac:dyDescent="0.2">
      <c r="B19" s="1337"/>
      <c r="C19" s="1341"/>
      <c r="D19" s="1342"/>
      <c r="E19" s="1960">
        <f t="shared" ref="E19:K19" si="1">SUM(E16:E18)</f>
        <v>3906</v>
      </c>
      <c r="F19" s="1960">
        <f t="shared" si="1"/>
        <v>15495</v>
      </c>
      <c r="G19" s="1960">
        <f t="shared" si="1"/>
        <v>3906</v>
      </c>
      <c r="H19" s="1960">
        <f t="shared" si="1"/>
        <v>0</v>
      </c>
      <c r="I19" s="1960">
        <f t="shared" si="1"/>
        <v>15495</v>
      </c>
      <c r="J19" s="1960">
        <f t="shared" si="1"/>
        <v>0</v>
      </c>
      <c r="K19" s="1960">
        <f t="shared" si="1"/>
        <v>0</v>
      </c>
      <c r="L19" s="1960">
        <f t="shared" si="0"/>
        <v>19401</v>
      </c>
      <c r="M19" s="1343"/>
    </row>
    <row r="20" spans="2:14" ht="20.100000000000001" customHeight="1" x14ac:dyDescent="0.2">
      <c r="B20" s="1337"/>
      <c r="C20" s="1341"/>
      <c r="D20" s="1342"/>
      <c r="E20" s="1340"/>
      <c r="F20" s="1340"/>
      <c r="G20" s="1340"/>
      <c r="H20" s="1340"/>
      <c r="I20" s="1340"/>
      <c r="J20" s="1340"/>
      <c r="K20" s="1340"/>
      <c r="L20" s="1340">
        <f t="shared" si="0"/>
        <v>0</v>
      </c>
      <c r="M20" s="1343"/>
    </row>
    <row r="21" spans="2:14" ht="20.100000000000001" customHeight="1" x14ac:dyDescent="0.2">
      <c r="B21" s="1337"/>
      <c r="C21" s="1341"/>
      <c r="D21" s="1342"/>
      <c r="E21" s="1958"/>
      <c r="F21" s="1958"/>
      <c r="G21" s="1958"/>
      <c r="H21" s="1958"/>
      <c r="I21" s="1958"/>
      <c r="J21" s="1958"/>
      <c r="K21" s="1958"/>
      <c r="L21" s="1959">
        <f t="shared" si="0"/>
        <v>0</v>
      </c>
      <c r="M21" s="1343"/>
    </row>
    <row r="22" spans="2:14" ht="20.100000000000001" customHeight="1" x14ac:dyDescent="0.2">
      <c r="B22" s="1955" t="s">
        <v>2155</v>
      </c>
      <c r="C22" s="1956">
        <v>10.579000000000001</v>
      </c>
      <c r="D22" s="1961" t="s">
        <v>2154</v>
      </c>
      <c r="E22" s="1960">
        <v>15588</v>
      </c>
      <c r="F22" s="1960">
        <v>0</v>
      </c>
      <c r="G22" s="1960">
        <v>15588</v>
      </c>
      <c r="H22" s="1960">
        <v>0</v>
      </c>
      <c r="I22" s="1960">
        <v>0</v>
      </c>
      <c r="J22" s="1960">
        <v>0</v>
      </c>
      <c r="K22" s="1960">
        <v>0</v>
      </c>
      <c r="L22" s="1960">
        <f t="shared" si="0"/>
        <v>15588</v>
      </c>
      <c r="M22" s="1343"/>
    </row>
    <row r="23" spans="2:14" ht="20.100000000000001" customHeight="1" x14ac:dyDescent="0.2">
      <c r="B23" s="1337"/>
      <c r="C23" s="1341"/>
      <c r="D23" s="1342"/>
      <c r="E23" s="1340"/>
      <c r="F23" s="1340"/>
      <c r="G23" s="1340"/>
      <c r="H23" s="1340"/>
      <c r="I23" s="1340"/>
      <c r="J23" s="1340"/>
      <c r="K23" s="1340"/>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58"/>
      <c r="F26" s="1958"/>
      <c r="G26" s="1958"/>
      <c r="H26" s="1958"/>
      <c r="I26" s="1958"/>
      <c r="J26" s="1958"/>
      <c r="K26" s="1958"/>
      <c r="L26" s="1340">
        <f t="shared" si="0"/>
        <v>0</v>
      </c>
      <c r="M26" s="1343"/>
    </row>
    <row r="27" spans="2:14" ht="20.100000000000001" customHeight="1" thickBot="1" x14ac:dyDescent="0.25">
      <c r="B27" s="1954" t="s">
        <v>2156</v>
      </c>
      <c r="C27" s="1341"/>
      <c r="D27" s="1342"/>
      <c r="E27" s="1969">
        <f>SUM(E22+E19+E13+' SEFA (3)'!E24)</f>
        <v>224477</v>
      </c>
      <c r="F27" s="1969">
        <f>SUM(F22+F19+F13+' SEFA (3)'!F24)</f>
        <v>281286</v>
      </c>
      <c r="G27" s="1969">
        <f>SUM(G22+G19+G13+' SEFA (3)'!G24)</f>
        <v>224477</v>
      </c>
      <c r="H27" s="1969">
        <f>SUM(H22+H19+H13+' SEFA (3)'!H24)</f>
        <v>0</v>
      </c>
      <c r="I27" s="1969">
        <f>SUM(I22+I19+I13+' SEFA (3)'!I24)</f>
        <v>281286</v>
      </c>
      <c r="J27" s="1969">
        <f>SUM(J22+J19+J13+' SEFA (3)'!J24)</f>
        <v>0</v>
      </c>
      <c r="K27" s="1969">
        <f>SUM(K22+K19+K13+' SEFA (3)'!K24)</f>
        <v>0</v>
      </c>
      <c r="L27" s="1340">
        <f t="shared" si="0"/>
        <v>505763</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34&amp;R&amp;8Page 34</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Tri-County SpEd Joint Agreement</v>
      </c>
      <c r="C1" s="2502"/>
      <c r="D1" s="2502"/>
      <c r="E1" s="2502"/>
      <c r="F1" s="2502"/>
      <c r="G1" s="2502"/>
      <c r="H1" s="2502"/>
      <c r="I1" s="2502"/>
      <c r="J1" s="2502"/>
      <c r="K1" s="2502"/>
      <c r="L1" s="2502"/>
      <c r="M1" s="2502"/>
    </row>
    <row r="2" spans="2:14" ht="15" x14ac:dyDescent="0.2">
      <c r="B2" s="2499">
        <f>'Single Audit Cover'!E7</f>
        <v>30039186061</v>
      </c>
      <c r="C2" s="2499"/>
      <c r="D2" s="2499"/>
      <c r="E2" s="2499"/>
      <c r="F2" s="2499"/>
      <c r="G2" s="2499"/>
      <c r="H2" s="2499"/>
      <c r="I2" s="2499"/>
      <c r="J2" s="2499"/>
      <c r="K2" s="2499"/>
      <c r="L2" s="2499"/>
      <c r="M2" s="2499"/>
      <c r="N2" s="1302"/>
    </row>
    <row r="3" spans="2:14" ht="15" x14ac:dyDescent="0.2">
      <c r="B3" s="2503" t="s">
        <v>1281</v>
      </c>
      <c r="C3" s="2503"/>
      <c r="D3" s="2503"/>
      <c r="E3" s="2503"/>
      <c r="F3" s="2503"/>
      <c r="G3" s="2503"/>
      <c r="H3" s="2503"/>
      <c r="I3" s="2503"/>
      <c r="J3" s="2503"/>
      <c r="K3" s="2503"/>
      <c r="L3" s="2503"/>
      <c r="M3" s="2503"/>
      <c r="N3" s="1302"/>
    </row>
    <row r="4" spans="2:14" ht="15" x14ac:dyDescent="0.2">
      <c r="B4" s="2504" t="str">
        <f>'Single Audit Cover'!A4</f>
        <v>Year Ending June 30, 2018</v>
      </c>
      <c r="C4" s="2504"/>
      <c r="D4" s="2504"/>
      <c r="E4" s="2504"/>
      <c r="F4" s="2504"/>
      <c r="G4" s="2504"/>
      <c r="H4" s="2504"/>
      <c r="I4" s="2504"/>
      <c r="J4" s="2504"/>
      <c r="K4" s="2504"/>
      <c r="L4" s="2504"/>
      <c r="M4" s="250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4.75" customHeight="1" x14ac:dyDescent="0.2">
      <c r="B11" s="1954" t="s">
        <v>2158</v>
      </c>
      <c r="C11" s="1338"/>
      <c r="D11" s="1339"/>
      <c r="E11" s="1340"/>
      <c r="F11" s="1340"/>
      <c r="G11" s="1340"/>
      <c r="H11" s="1340"/>
      <c r="I11" s="1340"/>
      <c r="J11" s="1340"/>
      <c r="K11" s="1340"/>
      <c r="L11" s="1340">
        <f>+G11+I11+K11</f>
        <v>0</v>
      </c>
      <c r="M11" s="1340"/>
    </row>
    <row r="12" spans="2:14" ht="33.75" customHeight="1" x14ac:dyDescent="0.2">
      <c r="B12" s="1954" t="s">
        <v>2159</v>
      </c>
      <c r="C12" s="1341"/>
      <c r="D12" s="1342"/>
      <c r="E12" s="1343"/>
      <c r="F12" s="1343"/>
      <c r="G12" s="1343"/>
      <c r="H12" s="1343"/>
      <c r="I12" s="1343"/>
      <c r="J12" s="1343"/>
      <c r="K12" s="1343"/>
      <c r="L12" s="1340">
        <f t="shared" ref="L12:L27" si="0">+G12+I12+K12</f>
        <v>0</v>
      </c>
      <c r="M12" s="1343"/>
    </row>
    <row r="13" spans="2:14" ht="20.100000000000001" customHeight="1" x14ac:dyDescent="0.2">
      <c r="B13" s="1954" t="s">
        <v>2160</v>
      </c>
      <c r="C13" s="1973"/>
      <c r="D13" s="1961"/>
      <c r="E13" s="1343"/>
      <c r="F13" s="1343"/>
      <c r="G13" s="1343"/>
      <c r="H13" s="1343"/>
      <c r="I13" s="1343"/>
      <c r="J13" s="1343"/>
      <c r="K13" s="1343"/>
      <c r="L13" s="1340">
        <f t="shared" si="0"/>
        <v>0</v>
      </c>
      <c r="M13" s="1343"/>
    </row>
    <row r="14" spans="2:14" ht="20.100000000000001" customHeight="1" x14ac:dyDescent="0.2">
      <c r="B14" s="1955" t="s">
        <v>2161</v>
      </c>
      <c r="C14" s="1957"/>
      <c r="D14" s="1962"/>
      <c r="E14" s="1343"/>
      <c r="F14" s="1343"/>
      <c r="G14" s="1343"/>
      <c r="H14" s="1343"/>
      <c r="I14" s="1343"/>
      <c r="J14" s="1343"/>
      <c r="K14" s="1343"/>
      <c r="L14" s="1340">
        <f t="shared" si="0"/>
        <v>0</v>
      </c>
      <c r="M14" s="1343"/>
    </row>
    <row r="15" spans="2:14" ht="20.100000000000001" customHeight="1" x14ac:dyDescent="0.2">
      <c r="B15" s="1955" t="s">
        <v>2162</v>
      </c>
      <c r="C15" s="1957">
        <v>93.778000000000006</v>
      </c>
      <c r="D15" s="1961" t="s">
        <v>2163</v>
      </c>
      <c r="E15" s="1343">
        <v>175033</v>
      </c>
      <c r="F15" s="1343">
        <v>0</v>
      </c>
      <c r="G15" s="1343">
        <v>175033</v>
      </c>
      <c r="H15" s="1343">
        <v>0</v>
      </c>
      <c r="I15" s="1343">
        <v>0</v>
      </c>
      <c r="J15" s="1343">
        <v>0</v>
      </c>
      <c r="K15" s="1343">
        <v>0</v>
      </c>
      <c r="L15" s="1340">
        <f t="shared" si="0"/>
        <v>175033</v>
      </c>
      <c r="M15" s="1343"/>
    </row>
    <row r="16" spans="2:14" ht="20.100000000000001" customHeight="1" x14ac:dyDescent="0.2">
      <c r="B16" s="1955" t="s">
        <v>2132</v>
      </c>
      <c r="C16" s="1956">
        <v>93.778000000000006</v>
      </c>
      <c r="D16" s="1961" t="s">
        <v>2164</v>
      </c>
      <c r="E16" s="1958">
        <v>0</v>
      </c>
      <c r="F16" s="1958">
        <v>172165</v>
      </c>
      <c r="G16" s="1958">
        <v>0</v>
      </c>
      <c r="H16" s="1958">
        <v>0</v>
      </c>
      <c r="I16" s="1958">
        <v>172165</v>
      </c>
      <c r="J16" s="1958">
        <v>0</v>
      </c>
      <c r="K16" s="1958">
        <v>0</v>
      </c>
      <c r="L16" s="1959">
        <f t="shared" si="0"/>
        <v>172165</v>
      </c>
      <c r="M16" s="1343"/>
    </row>
    <row r="17" spans="2:14" ht="29.25" customHeight="1" thickBot="1" x14ac:dyDescent="0.25">
      <c r="B17" s="1968" t="s">
        <v>2165</v>
      </c>
      <c r="C17" s="1956"/>
      <c r="D17" s="1961"/>
      <c r="E17" s="1972">
        <f t="shared" ref="E17:K17" si="1">SUM(E15:E16)</f>
        <v>175033</v>
      </c>
      <c r="F17" s="1972">
        <f t="shared" si="1"/>
        <v>172165</v>
      </c>
      <c r="G17" s="1972">
        <f t="shared" si="1"/>
        <v>175033</v>
      </c>
      <c r="H17" s="1972">
        <f t="shared" si="1"/>
        <v>0</v>
      </c>
      <c r="I17" s="1972">
        <f t="shared" si="1"/>
        <v>172165</v>
      </c>
      <c r="J17" s="1972">
        <f t="shared" si="1"/>
        <v>0</v>
      </c>
      <c r="K17" s="1972">
        <f t="shared" si="1"/>
        <v>0</v>
      </c>
      <c r="L17" s="1969">
        <f t="shared" si="0"/>
        <v>347198</v>
      </c>
      <c r="M17" s="1343"/>
    </row>
    <row r="18" spans="2:14" ht="20.100000000000001" customHeight="1" x14ac:dyDescent="0.2">
      <c r="B18" s="1337"/>
      <c r="C18" s="1341"/>
      <c r="D18" s="1342"/>
      <c r="E18" s="1340"/>
      <c r="F18" s="1340"/>
      <c r="G18" s="1340"/>
      <c r="H18" s="1340"/>
      <c r="I18" s="1340"/>
      <c r="J18" s="1340"/>
      <c r="K18" s="1340"/>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974" t="s">
        <v>2166</v>
      </c>
      <c r="C27" s="1341"/>
      <c r="D27" s="1342"/>
      <c r="E27" s="1343">
        <f>SUM(E17+' SEFA (4)'!E27+' SEFA (2)'!E27)</f>
        <v>2958029</v>
      </c>
      <c r="F27" s="1343">
        <f>SUM(F17+' SEFA (4)'!F27+' SEFA (2)'!F27)</f>
        <v>4016521</v>
      </c>
      <c r="G27" s="1343">
        <f>SUM(G17+' SEFA (4)'!G27+' SEFA (2)'!G27)</f>
        <v>3598993</v>
      </c>
      <c r="H27" s="1343">
        <f>SUM(H17+' SEFA (4)'!H27+' SEFA (2)'!H27)</f>
        <v>0</v>
      </c>
      <c r="I27" s="1343">
        <f>SUM(I17+' SEFA (4)'!I27+' SEFA (2)'!I27)</f>
        <v>3312522</v>
      </c>
      <c r="J27" s="1343">
        <f>SUM(J17+' SEFA (4)'!J27+' SEFA (2)'!J27)</f>
        <v>601500</v>
      </c>
      <c r="K27" s="1343">
        <f>SUM(K17+' SEFA (4)'!K27+' SEFA (2)'!K27)</f>
        <v>0</v>
      </c>
      <c r="L27" s="1340">
        <f t="shared" si="0"/>
        <v>6911515</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35&amp;R&amp;8Page 35</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7" zoomScaleNormal="100" workbookViewId="0">
      <selection activeCell="H37" sqref="H3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6" t="str">
        <f>'Single Audit Cover'!A7</f>
        <v>Tri-County SpEd Joint Agreement</v>
      </c>
      <c r="C1" s="2517"/>
      <c r="D1" s="2517"/>
      <c r="E1" s="2517"/>
      <c r="F1" s="2517"/>
      <c r="G1" s="2517"/>
      <c r="H1" s="2517"/>
      <c r="I1" s="2517"/>
      <c r="J1" s="1422"/>
    </row>
    <row r="2" spans="2:10" s="317" customFormat="1" ht="12.75" customHeight="1" x14ac:dyDescent="0.2">
      <c r="B2" s="2518">
        <f>'Single Audit Cover'!E7</f>
        <v>30039186061</v>
      </c>
      <c r="C2" s="2519"/>
      <c r="D2" s="2519"/>
      <c r="E2" s="2519"/>
      <c r="F2" s="2519"/>
      <c r="G2" s="2519"/>
      <c r="H2" s="2519"/>
      <c r="I2" s="2519"/>
      <c r="J2" s="1422"/>
    </row>
    <row r="3" spans="2:10" s="317" customFormat="1" ht="12.75" customHeight="1" x14ac:dyDescent="0.2">
      <c r="B3" s="2520" t="s">
        <v>1347</v>
      </c>
      <c r="C3" s="2521"/>
      <c r="D3" s="2521"/>
      <c r="E3" s="2521"/>
      <c r="F3" s="2521"/>
      <c r="G3" s="2521"/>
      <c r="H3" s="2521"/>
      <c r="I3" s="2521"/>
      <c r="J3" s="1423"/>
    </row>
    <row r="4" spans="2:10" s="317" customFormat="1" ht="12.75" customHeight="1" x14ac:dyDescent="0.2">
      <c r="B4" s="2520" t="str">
        <f>'Single Audit Cover'!A4</f>
        <v>Year Ending June 30, 2018</v>
      </c>
      <c r="C4" s="2521"/>
      <c r="D4" s="2521"/>
      <c r="E4" s="2521"/>
      <c r="F4" s="2521"/>
      <c r="G4" s="2521"/>
      <c r="H4" s="2521"/>
      <c r="I4" s="252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0" t="s">
        <v>1346</v>
      </c>
      <c r="C7" s="2521"/>
      <c r="D7" s="2521"/>
      <c r="E7" s="2521"/>
      <c r="F7" s="2521"/>
      <c r="G7" s="2521"/>
      <c r="H7" s="2521"/>
      <c r="I7" s="252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22" t="s">
        <v>1226</v>
      </c>
      <c r="D11" s="252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2073</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23" t="s">
        <v>2099</v>
      </c>
      <c r="E29" s="2523"/>
      <c r="F29" s="2523"/>
      <c r="G29" s="2523"/>
      <c r="H29" s="2523"/>
      <c r="I29" s="252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24" t="s">
        <v>1851</v>
      </c>
      <c r="D37" s="2525"/>
      <c r="E37" s="2525"/>
      <c r="F37" s="2526"/>
      <c r="G37" s="2524" t="s">
        <v>1674</v>
      </c>
      <c r="H37" s="2525"/>
      <c r="I37" s="2526"/>
    </row>
    <row r="38" spans="2:9" ht="16.5" customHeight="1" x14ac:dyDescent="0.2">
      <c r="B38" s="1975" t="s">
        <v>2119</v>
      </c>
      <c r="C38" s="2527" t="s">
        <v>2167</v>
      </c>
      <c r="D38" s="2528"/>
      <c r="E38" s="2528"/>
      <c r="F38" s="2529"/>
      <c r="G38" s="2530">
        <v>2631251</v>
      </c>
      <c r="H38" s="2531"/>
      <c r="I38" s="2532"/>
    </row>
    <row r="39" spans="2:9" ht="16.5" customHeight="1" x14ac:dyDescent="0.2">
      <c r="B39" s="1444">
        <v>10.555</v>
      </c>
      <c r="C39" s="2512" t="s">
        <v>2168</v>
      </c>
      <c r="D39" s="2513"/>
      <c r="E39" s="2513"/>
      <c r="F39" s="2514"/>
      <c r="G39" s="2515">
        <v>257311</v>
      </c>
      <c r="H39" s="2515"/>
      <c r="I39" s="2515"/>
    </row>
    <row r="40" spans="2:9" ht="16.5" customHeight="1" x14ac:dyDescent="0.2">
      <c r="B40" s="1444"/>
      <c r="C40" s="2512"/>
      <c r="D40" s="2513"/>
      <c r="E40" s="2513"/>
      <c r="F40" s="2514"/>
      <c r="G40" s="2515"/>
      <c r="H40" s="2515"/>
      <c r="I40" s="2515"/>
    </row>
    <row r="41" spans="2:9" ht="16.5" customHeight="1" x14ac:dyDescent="0.2">
      <c r="B41" s="1444"/>
      <c r="C41" s="2512"/>
      <c r="D41" s="2513"/>
      <c r="E41" s="2513"/>
      <c r="F41" s="2514"/>
      <c r="G41" s="2515"/>
      <c r="H41" s="2515"/>
      <c r="I41" s="2515"/>
    </row>
    <row r="42" spans="2:9" ht="16.5" customHeight="1" x14ac:dyDescent="0.2">
      <c r="B42" s="1444"/>
      <c r="C42" s="2512"/>
      <c r="D42" s="2513"/>
      <c r="E42" s="2513"/>
      <c r="F42" s="2514"/>
      <c r="G42" s="2515"/>
      <c r="H42" s="2515"/>
      <c r="I42" s="2515"/>
    </row>
    <row r="43" spans="2:9" ht="16.5" customHeight="1" x14ac:dyDescent="0.2">
      <c r="B43" s="1444"/>
      <c r="C43" s="2505" t="s">
        <v>1675</v>
      </c>
      <c r="D43" s="2506"/>
      <c r="E43" s="2506"/>
      <c r="F43" s="2507"/>
      <c r="G43" s="2508">
        <f>SUM(G38:I42)</f>
        <v>2888562</v>
      </c>
      <c r="H43" s="2508"/>
      <c r="I43" s="2508"/>
    </row>
    <row r="44" spans="2:9" ht="12.75" customHeight="1" x14ac:dyDescent="0.2"/>
    <row r="45" spans="2:9" ht="12.75" customHeight="1" x14ac:dyDescent="0.2">
      <c r="B45" s="1435" t="s">
        <v>1947</v>
      </c>
      <c r="D45" s="2509">
        <v>3334610</v>
      </c>
      <c r="E45" s="2510"/>
    </row>
    <row r="46" spans="2:9" ht="5.25" customHeight="1" x14ac:dyDescent="0.2">
      <c r="B46" s="1445"/>
      <c r="D46" s="1446"/>
      <c r="E46" s="1447"/>
    </row>
    <row r="47" spans="2:9" ht="12.75" customHeight="1" x14ac:dyDescent="0.2">
      <c r="B47" s="1300" t="s">
        <v>1676</v>
      </c>
      <c r="C47" s="1300"/>
      <c r="D47" s="1448">
        <f>+G43/D45</f>
        <v>0.86623683129361451</v>
      </c>
      <c r="E47" s="1449"/>
      <c r="F47" s="1450"/>
      <c r="I47" s="1451"/>
    </row>
    <row r="48" spans="2:9" ht="9.9499999999999993" customHeight="1" x14ac:dyDescent="0.2"/>
    <row r="49" spans="1:9" x14ac:dyDescent="0.2">
      <c r="B49" s="1368" t="s">
        <v>1335</v>
      </c>
      <c r="C49" s="1282"/>
      <c r="D49" s="1282"/>
      <c r="E49" s="2511">
        <v>750000</v>
      </c>
      <c r="F49" s="2511"/>
      <c r="G49" s="2511"/>
      <c r="H49" s="322"/>
    </row>
    <row r="51" spans="1:9" ht="13.5" customHeight="1" x14ac:dyDescent="0.2">
      <c r="B51" s="1368" t="s">
        <v>1334</v>
      </c>
      <c r="C51" s="1282"/>
      <c r="E51" s="1438" t="s">
        <v>2073</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36&amp;R&amp;8Page 36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8" zoomScale="110" zoomScaleNormal="110" workbookViewId="0">
      <selection activeCell="H37" sqref="H3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6" t="str">
        <f>'Single Audit Cover'!A7</f>
        <v>Tri-County SpEd Joint Agreement</v>
      </c>
      <c r="C1" s="2516"/>
      <c r="D1" s="2516"/>
      <c r="E1" s="2516"/>
      <c r="F1" s="2516"/>
      <c r="G1" s="2516"/>
      <c r="H1" s="2516"/>
      <c r="I1" s="2516"/>
      <c r="J1" s="2516"/>
      <c r="K1" s="2516"/>
      <c r="L1" s="1374"/>
      <c r="M1" s="1374"/>
    </row>
    <row r="2" spans="1:13" ht="12" customHeight="1" x14ac:dyDescent="0.2">
      <c r="B2" s="2518">
        <f>'Single Audit Cover'!E7</f>
        <v>30039186061</v>
      </c>
      <c r="C2" s="2518"/>
      <c r="D2" s="2518"/>
      <c r="E2" s="2518"/>
      <c r="F2" s="2518"/>
      <c r="G2" s="2518"/>
      <c r="H2" s="2518"/>
      <c r="I2" s="2518"/>
      <c r="J2" s="2518"/>
      <c r="K2" s="2518"/>
      <c r="L2" s="1375"/>
      <c r="M2" s="1376"/>
    </row>
    <row r="3" spans="1:13" ht="10.35" customHeight="1" x14ac:dyDescent="0.2">
      <c r="B3" s="2535" t="s">
        <v>1347</v>
      </c>
      <c r="C3" s="2535"/>
      <c r="D3" s="2535"/>
      <c r="E3" s="2535"/>
      <c r="F3" s="2535"/>
      <c r="G3" s="2535"/>
      <c r="H3" s="2535"/>
      <c r="I3" s="2535"/>
      <c r="J3" s="2535"/>
      <c r="K3" s="2535"/>
      <c r="L3" s="1377"/>
      <c r="M3" s="1377"/>
    </row>
    <row r="4" spans="1:13" ht="14.25" customHeight="1" x14ac:dyDescent="0.2">
      <c r="B4" s="2536" t="str">
        <f>'Single Audit Cover'!A4</f>
        <v>Year Ending June 30, 2018</v>
      </c>
      <c r="C4" s="2536"/>
      <c r="D4" s="2536"/>
      <c r="E4" s="2536"/>
      <c r="F4" s="2536"/>
      <c r="G4" s="2536"/>
      <c r="H4" s="2536"/>
      <c r="I4" s="2536"/>
      <c r="J4" s="2536"/>
      <c r="K4" s="253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36" t="s">
        <v>1363</v>
      </c>
      <c r="C7" s="2536"/>
      <c r="D7" s="2537"/>
      <c r="E7" s="2537"/>
      <c r="F7" s="2537"/>
      <c r="G7" s="2537"/>
      <c r="H7" s="2537"/>
      <c r="I7" s="2537"/>
      <c r="J7" s="2537"/>
      <c r="K7" s="253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34" t="s">
        <v>2100</v>
      </c>
      <c r="C14" s="2534"/>
      <c r="D14" s="2534"/>
      <c r="E14" s="2534"/>
      <c r="F14" s="2534"/>
      <c r="G14" s="2534"/>
      <c r="H14" s="2534"/>
      <c r="I14" s="2534"/>
      <c r="J14" s="2534"/>
      <c r="K14" s="253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34" t="s">
        <v>2175</v>
      </c>
      <c r="C17" s="2534"/>
      <c r="D17" s="2534"/>
      <c r="E17" s="2534"/>
      <c r="F17" s="2534"/>
      <c r="G17" s="2534"/>
      <c r="H17" s="2534"/>
      <c r="I17" s="2534"/>
      <c r="J17" s="2534"/>
      <c r="K17" s="253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8" t="s">
        <v>2176</v>
      </c>
      <c r="C20" s="2538"/>
      <c r="D20" s="2534"/>
      <c r="E20" s="2534"/>
      <c r="F20" s="2534"/>
      <c r="G20" s="2534"/>
      <c r="H20" s="2534"/>
      <c r="I20" s="2534"/>
      <c r="J20" s="2534"/>
      <c r="K20" s="253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4" t="s">
        <v>2177</v>
      </c>
      <c r="C23" s="2534"/>
      <c r="D23" s="2534"/>
      <c r="E23" s="2534"/>
      <c r="F23" s="2534"/>
      <c r="G23" s="2534"/>
      <c r="H23" s="2534"/>
      <c r="I23" s="2534"/>
      <c r="J23" s="2534"/>
      <c r="K23" s="253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21.75" customHeight="1" x14ac:dyDescent="0.2">
      <c r="B26" s="2534" t="s">
        <v>2178</v>
      </c>
      <c r="C26" s="2534"/>
      <c r="D26" s="2534"/>
      <c r="E26" s="2534"/>
      <c r="F26" s="2534"/>
      <c r="G26" s="2534"/>
      <c r="H26" s="2534"/>
      <c r="I26" s="2534"/>
      <c r="J26" s="2534"/>
      <c r="K26" s="253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3.25" customHeight="1" x14ac:dyDescent="0.2">
      <c r="B29" s="2539" t="s">
        <v>2179</v>
      </c>
      <c r="C29" s="2539"/>
      <c r="D29" s="2540"/>
      <c r="E29" s="2540"/>
      <c r="F29" s="2540"/>
      <c r="G29" s="2540"/>
      <c r="H29" s="2540"/>
      <c r="I29" s="2540"/>
      <c r="J29" s="2540"/>
      <c r="K29" s="254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33" t="s">
        <v>2180</v>
      </c>
      <c r="C32" s="2533"/>
      <c r="D32" s="2534"/>
      <c r="E32" s="2534"/>
      <c r="F32" s="2534"/>
      <c r="G32" s="2534"/>
      <c r="H32" s="2534"/>
      <c r="I32" s="2534"/>
      <c r="J32" s="2534"/>
      <c r="K32" s="253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3" zoomScale="110" zoomScaleNormal="110" workbookViewId="0">
      <selection activeCell="H37" sqref="H3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6" t="str">
        <f>'Single Audit Cover'!A7</f>
        <v>Tri-County SpEd Joint Agreement</v>
      </c>
      <c r="C1" s="2516"/>
      <c r="D1" s="2516"/>
      <c r="E1" s="2516"/>
      <c r="F1" s="2516"/>
      <c r="G1" s="2516"/>
      <c r="H1" s="2516"/>
      <c r="I1" s="2516"/>
      <c r="J1" s="2516"/>
      <c r="K1" s="2516"/>
      <c r="L1" s="1374"/>
      <c r="M1" s="1374"/>
    </row>
    <row r="2" spans="1:13" ht="12" customHeight="1" x14ac:dyDescent="0.2">
      <c r="B2" s="2518">
        <f>'Single Audit Cover'!E7</f>
        <v>30039186061</v>
      </c>
      <c r="C2" s="2518"/>
      <c r="D2" s="2518"/>
      <c r="E2" s="2518"/>
      <c r="F2" s="2518"/>
      <c r="G2" s="2518"/>
      <c r="H2" s="2518"/>
      <c r="I2" s="2518"/>
      <c r="J2" s="2518"/>
      <c r="K2" s="2518"/>
      <c r="L2" s="1375"/>
      <c r="M2" s="1376"/>
    </row>
    <row r="3" spans="1:13" ht="10.35" customHeight="1" x14ac:dyDescent="0.2">
      <c r="B3" s="2535" t="s">
        <v>1347</v>
      </c>
      <c r="C3" s="2535"/>
      <c r="D3" s="2535"/>
      <c r="E3" s="2535"/>
      <c r="F3" s="2535"/>
      <c r="G3" s="2535"/>
      <c r="H3" s="2535"/>
      <c r="I3" s="2535"/>
      <c r="J3" s="2535"/>
      <c r="K3" s="2535"/>
      <c r="L3" s="1945"/>
      <c r="M3" s="1945"/>
    </row>
    <row r="4" spans="1:13" ht="14.25" customHeight="1" x14ac:dyDescent="0.2">
      <c r="B4" s="2536" t="str">
        <f>'Single Audit Cover'!A4</f>
        <v>Year Ending June 30, 2018</v>
      </c>
      <c r="C4" s="2536"/>
      <c r="D4" s="2536"/>
      <c r="E4" s="2536"/>
      <c r="F4" s="2536"/>
      <c r="G4" s="2536"/>
      <c r="H4" s="2536"/>
      <c r="I4" s="2536"/>
      <c r="J4" s="2536"/>
      <c r="K4" s="253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36" t="s">
        <v>1363</v>
      </c>
      <c r="C7" s="2536"/>
      <c r="D7" s="2537"/>
      <c r="E7" s="2537"/>
      <c r="F7" s="2537"/>
      <c r="G7" s="2537"/>
      <c r="H7" s="2537"/>
      <c r="I7" s="2537"/>
      <c r="J7" s="2537"/>
      <c r="K7" s="253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2</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4.75" customHeight="1" x14ac:dyDescent="0.2">
      <c r="B14" s="2540" t="s">
        <v>2182</v>
      </c>
      <c r="C14" s="2540"/>
      <c r="D14" s="2540"/>
      <c r="E14" s="2540"/>
      <c r="F14" s="2540"/>
      <c r="G14" s="2540"/>
      <c r="H14" s="2540"/>
      <c r="I14" s="2540"/>
      <c r="J14" s="2540"/>
      <c r="K14" s="254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8.25" customHeight="1" x14ac:dyDescent="0.2">
      <c r="B17" s="2541" t="s">
        <v>2183</v>
      </c>
      <c r="C17" s="2541"/>
      <c r="D17" s="2541"/>
      <c r="E17" s="2541"/>
      <c r="F17" s="2541"/>
      <c r="G17" s="2541"/>
      <c r="H17" s="2541"/>
      <c r="I17" s="2541"/>
      <c r="J17" s="2541"/>
      <c r="K17" s="2541"/>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8" t="s">
        <v>2184</v>
      </c>
      <c r="C20" s="2538"/>
      <c r="D20" s="2534"/>
      <c r="E20" s="2534"/>
      <c r="F20" s="2534"/>
      <c r="G20" s="2534"/>
      <c r="H20" s="2534"/>
      <c r="I20" s="2534"/>
      <c r="J20" s="2534"/>
      <c r="K20" s="253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4" t="s">
        <v>2181</v>
      </c>
      <c r="C23" s="2534"/>
      <c r="D23" s="2534"/>
      <c r="E23" s="2534"/>
      <c r="F23" s="2534"/>
      <c r="G23" s="2534"/>
      <c r="H23" s="2534"/>
      <c r="I23" s="2534"/>
      <c r="J23" s="2534"/>
      <c r="K23" s="253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34" t="s">
        <v>2185</v>
      </c>
      <c r="C26" s="2534"/>
      <c r="D26" s="2534"/>
      <c r="E26" s="2534"/>
      <c r="F26" s="2534"/>
      <c r="G26" s="2534"/>
      <c r="H26" s="2534"/>
      <c r="I26" s="2534"/>
      <c r="J26" s="2534"/>
      <c r="K26" s="253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42" t="s">
        <v>2186</v>
      </c>
      <c r="C29" s="2542"/>
      <c r="D29" s="2534"/>
      <c r="E29" s="2534"/>
      <c r="F29" s="2534"/>
      <c r="G29" s="2534"/>
      <c r="H29" s="2534"/>
      <c r="I29" s="2534"/>
      <c r="J29" s="2534"/>
      <c r="K29" s="253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61.5" customHeight="1" x14ac:dyDescent="0.2">
      <c r="B32" s="2539" t="s">
        <v>2187</v>
      </c>
      <c r="C32" s="2539"/>
      <c r="D32" s="2540"/>
      <c r="E32" s="2540"/>
      <c r="F32" s="2540"/>
      <c r="G32" s="2540"/>
      <c r="H32" s="2540"/>
      <c r="I32" s="2540"/>
      <c r="J32" s="2540"/>
      <c r="K32" s="254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38&amp;R&amp;8Page 38</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5" zoomScale="110" zoomScaleNormal="110" workbookViewId="0">
      <selection activeCell="H37" sqref="H3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7" t="str">
        <f>'Single Audit Cover'!A7</f>
        <v>Tri-County SpEd Joint Agreement</v>
      </c>
      <c r="C1" s="2547"/>
      <c r="D1" s="2547"/>
      <c r="E1" s="2547"/>
      <c r="F1" s="2547"/>
      <c r="G1" s="2547"/>
      <c r="H1" s="2547"/>
      <c r="I1" s="2547"/>
      <c r="J1" s="2547"/>
      <c r="K1" s="2547"/>
      <c r="L1" s="1465"/>
    </row>
    <row r="2" spans="1:12" ht="12.75" customHeight="1" x14ac:dyDescent="0.2">
      <c r="B2" s="2548">
        <f>'Single Audit Cover'!E7</f>
        <v>30039186061</v>
      </c>
      <c r="C2" s="2548"/>
      <c r="D2" s="2548"/>
      <c r="E2" s="2548"/>
      <c r="F2" s="2548"/>
      <c r="G2" s="2548"/>
      <c r="H2" s="2548"/>
      <c r="I2" s="2548"/>
      <c r="J2" s="2548"/>
      <c r="K2" s="2548"/>
      <c r="L2" s="1466"/>
    </row>
    <row r="3" spans="1:12" ht="12.75" customHeight="1" x14ac:dyDescent="0.2">
      <c r="B3" s="2535" t="s">
        <v>1347</v>
      </c>
      <c r="C3" s="2535"/>
      <c r="D3" s="2535"/>
      <c r="E3" s="2535"/>
      <c r="F3" s="2535"/>
      <c r="G3" s="2535"/>
      <c r="H3" s="2535"/>
      <c r="I3" s="2535"/>
      <c r="J3" s="2535"/>
      <c r="K3" s="2535"/>
      <c r="L3" s="1377"/>
    </row>
    <row r="4" spans="1:12" ht="12.75" customHeight="1" x14ac:dyDescent="0.2">
      <c r="B4" s="2535" t="str">
        <f>'Single Audit Cover'!A4</f>
        <v>Year Ending June 30, 2018</v>
      </c>
      <c r="C4" s="2535"/>
      <c r="D4" s="2535"/>
      <c r="E4" s="2535"/>
      <c r="F4" s="2535"/>
      <c r="G4" s="2535"/>
      <c r="H4" s="2535"/>
      <c r="I4" s="2535"/>
      <c r="J4" s="2535"/>
      <c r="K4" s="2535"/>
      <c r="L4" s="1377"/>
    </row>
    <row r="5" spans="1:12" ht="5.25" customHeight="1" x14ac:dyDescent="0.2">
      <c r="B5" s="1260" t="s">
        <v>1231</v>
      </c>
      <c r="C5" s="1260"/>
      <c r="L5" s="322"/>
    </row>
    <row r="6" spans="1:12" ht="30.75" customHeight="1" x14ac:dyDescent="0.2">
      <c r="A6" s="322"/>
      <c r="B6" s="2549" t="s">
        <v>1375</v>
      </c>
      <c r="C6" s="2549"/>
      <c r="D6" s="2549"/>
      <c r="E6" s="2549"/>
      <c r="F6" s="2549"/>
      <c r="G6" s="2549"/>
      <c r="H6" s="2549"/>
      <c r="I6" s="2549"/>
      <c r="J6" s="2549"/>
      <c r="K6" s="2549"/>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2108</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23"/>
      <c r="G12" s="2523"/>
      <c r="H12" s="2523"/>
      <c r="I12" s="2523"/>
      <c r="J12" s="2523"/>
      <c r="K12" s="252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44"/>
      <c r="E14" s="2544"/>
      <c r="F14" s="2544"/>
      <c r="H14" s="1475" t="s">
        <v>1370</v>
      </c>
      <c r="I14" s="2545"/>
      <c r="J14" s="2545"/>
      <c r="K14" s="254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45"/>
      <c r="E16" s="2545"/>
      <c r="F16" s="2545"/>
      <c r="G16" s="2545"/>
      <c r="H16" s="2545"/>
      <c r="I16" s="2545"/>
      <c r="J16" s="2545"/>
      <c r="K16" s="2545"/>
      <c r="L16" s="322"/>
    </row>
    <row r="17" spans="2:12" ht="13.5" customHeight="1" x14ac:dyDescent="0.2">
      <c r="B17" s="1387" t="s">
        <v>1368</v>
      </c>
      <c r="C17" s="1387"/>
      <c r="D17" s="2546"/>
      <c r="E17" s="2546"/>
      <c r="F17" s="2546"/>
      <c r="G17" s="2546"/>
      <c r="H17" s="2546"/>
      <c r="I17" s="2546"/>
      <c r="J17" s="2546"/>
      <c r="K17" s="254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43"/>
      <c r="C20" s="2543"/>
      <c r="D20" s="2543"/>
      <c r="E20" s="2543"/>
      <c r="F20" s="2543"/>
      <c r="G20" s="2543"/>
      <c r="H20" s="2543"/>
      <c r="I20" s="2543"/>
      <c r="J20" s="2543"/>
      <c r="K20" s="254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43"/>
      <c r="C23" s="2543"/>
      <c r="D23" s="2543"/>
      <c r="E23" s="2543"/>
      <c r="F23" s="2543"/>
      <c r="G23" s="2543"/>
      <c r="H23" s="2543"/>
      <c r="I23" s="2543"/>
      <c r="J23" s="2543"/>
      <c r="K23" s="254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43"/>
      <c r="C26" s="2543"/>
      <c r="D26" s="2543"/>
      <c r="E26" s="2543"/>
      <c r="F26" s="2543"/>
      <c r="G26" s="2543"/>
      <c r="H26" s="2543"/>
      <c r="I26" s="2543"/>
      <c r="J26" s="2543"/>
      <c r="K26" s="254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43"/>
      <c r="C29" s="2543"/>
      <c r="D29" s="2543"/>
      <c r="E29" s="2543"/>
      <c r="F29" s="2543"/>
      <c r="G29" s="2543"/>
      <c r="H29" s="2543"/>
      <c r="I29" s="2543"/>
      <c r="J29" s="2543"/>
      <c r="K29" s="254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43"/>
      <c r="C32" s="2543"/>
      <c r="D32" s="2543"/>
      <c r="E32" s="2543"/>
      <c r="F32" s="2543"/>
      <c r="G32" s="2543"/>
      <c r="H32" s="2543"/>
      <c r="I32" s="2543"/>
      <c r="J32" s="2543"/>
      <c r="K32" s="254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43"/>
      <c r="C35" s="2543"/>
      <c r="D35" s="2543"/>
      <c r="E35" s="2543"/>
      <c r="F35" s="2543"/>
      <c r="G35" s="2543"/>
      <c r="H35" s="2543"/>
      <c r="I35" s="2543"/>
      <c r="J35" s="2543"/>
      <c r="K35" s="254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43"/>
      <c r="C38" s="2543"/>
      <c r="D38" s="2543"/>
      <c r="E38" s="2543"/>
      <c r="F38" s="2543"/>
      <c r="G38" s="2543"/>
      <c r="H38" s="2543"/>
      <c r="I38" s="2543"/>
      <c r="J38" s="2543"/>
      <c r="K38" s="254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43"/>
      <c r="C41" s="2543"/>
      <c r="D41" s="2543"/>
      <c r="E41" s="2543"/>
      <c r="F41" s="2543"/>
      <c r="G41" s="2543"/>
      <c r="H41" s="2543"/>
      <c r="I41" s="2543"/>
      <c r="J41" s="2543"/>
      <c r="K41" s="254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39&amp;R&amp;8Page 39</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16" zoomScale="110" zoomScaleNormal="110" workbookViewId="0">
      <selection activeCell="H37" sqref="H3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6" t="str">
        <f>'Single Audit Cover'!A7</f>
        <v>Tri-County SpEd Joint Agreement</v>
      </c>
      <c r="C1" s="2516"/>
      <c r="D1" s="2516"/>
      <c r="E1" s="1491"/>
    </row>
    <row r="2" spans="2:5" s="1282" customFormat="1" ht="12.75" customHeight="1" x14ac:dyDescent="0.2">
      <c r="B2" s="2518">
        <f>'Single Audit Cover'!E7</f>
        <v>30039186061</v>
      </c>
      <c r="C2" s="2518"/>
      <c r="D2" s="2518"/>
      <c r="E2" s="1492"/>
    </row>
    <row r="3" spans="2:5" ht="12.75" customHeight="1" x14ac:dyDescent="0.2">
      <c r="B3" s="2535" t="s">
        <v>1866</v>
      </c>
      <c r="C3" s="2535"/>
      <c r="D3" s="2535"/>
      <c r="E3" s="1274"/>
    </row>
    <row r="4" spans="2:5" s="1282" customFormat="1" ht="12.75" customHeight="1" x14ac:dyDescent="0.2">
      <c r="B4" s="2550" t="str">
        <f>'Single Audit Cover'!A4</f>
        <v>Year Ending June 30, 2018</v>
      </c>
      <c r="C4" s="2550"/>
      <c r="D4" s="2550"/>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950" t="s">
        <v>2103</v>
      </c>
      <c r="C8" s="1951" t="s">
        <v>2100</v>
      </c>
      <c r="D8" s="1951" t="s">
        <v>2101</v>
      </c>
      <c r="E8" s="324"/>
    </row>
    <row r="9" spans="2:5" ht="13.5" customHeight="1" x14ac:dyDescent="0.2">
      <c r="B9" s="1952"/>
      <c r="C9" s="1953"/>
      <c r="D9" s="1953"/>
      <c r="E9" s="323"/>
    </row>
    <row r="10" spans="2:5" ht="13.5" customHeight="1" x14ac:dyDescent="0.2">
      <c r="B10" s="1950" t="s">
        <v>2104</v>
      </c>
      <c r="C10" s="1953" t="s">
        <v>2102</v>
      </c>
      <c r="D10" s="1951" t="s">
        <v>2101</v>
      </c>
      <c r="E10" s="323"/>
    </row>
    <row r="11" spans="2:5" ht="13.5" customHeight="1" x14ac:dyDescent="0.2">
      <c r="B11" s="1496"/>
      <c r="C11" s="323"/>
      <c r="D11" s="323"/>
      <c r="E11" s="323"/>
    </row>
    <row r="12" spans="2:5" ht="13.5" customHeight="1" x14ac:dyDescent="0.2">
      <c r="B12" s="1496" t="s">
        <v>2105</v>
      </c>
      <c r="C12" s="323" t="s">
        <v>2106</v>
      </c>
      <c r="D12" s="323" t="s">
        <v>2107</v>
      </c>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1868</v>
      </c>
    </row>
    <row r="46" spans="2:5" ht="12.2" customHeight="1" x14ac:dyDescent="0.2">
      <c r="B46" s="1504" t="s">
        <v>1869</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40&amp;R&amp;8Page 40</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404</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7">
        <f>ROUND(D10+F10+H10,5)</f>
        <v>0</v>
      </c>
      <c r="K10" s="222"/>
      <c r="L10" s="355"/>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13207310</v>
      </c>
      <c r="E16" s="356"/>
      <c r="F16" s="1748">
        <f>SUM('Acct Summary 7-8'!C17,'Acct Summary 7-8'!D17,'Acct Summary 7-8'!F17)</f>
        <v>12338870</v>
      </c>
      <c r="G16" s="356"/>
      <c r="H16" s="1748">
        <f>SUM(D16-F16)</f>
        <v>868440</v>
      </c>
      <c r="I16" s="222"/>
      <c r="J16" s="1748">
        <f>SUM('Acct Summary 7-8'!C81,'Acct Summary 7-8'!D81,'Acct Summary 7-8'!F81,'Acct Summary 7-8'!I81)</f>
        <v>3805354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3" activeCellId="1" sqref="B53 C5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577</v>
      </c>
      <c r="B2" s="2153"/>
      <c r="C2" s="2153"/>
      <c r="D2" s="2153"/>
      <c r="E2" s="2153"/>
      <c r="F2" s="2153"/>
      <c r="G2" s="2153"/>
      <c r="H2" s="2153"/>
      <c r="I2" s="2153"/>
      <c r="J2" s="2153"/>
      <c r="K2" s="2153"/>
      <c r="L2" s="2153"/>
      <c r="M2" s="2153"/>
      <c r="N2" s="2153"/>
      <c r="O2" s="2153"/>
      <c r="P2" s="2153"/>
      <c r="Q2" s="2153"/>
      <c r="R2" s="2153"/>
    </row>
    <row r="3" spans="1:18" ht="12.75" x14ac:dyDescent="0.2">
      <c r="A3" s="2154" t="s">
        <v>1480</v>
      </c>
      <c r="B3" s="2154"/>
      <c r="C3" s="2154"/>
      <c r="D3" s="2154"/>
      <c r="E3" s="2154"/>
      <c r="F3" s="2154"/>
      <c r="G3" s="2154"/>
      <c r="H3" s="2154"/>
      <c r="I3" s="2154"/>
      <c r="J3" s="2154"/>
      <c r="K3" s="2154"/>
      <c r="L3" s="2154"/>
      <c r="M3" s="2154"/>
      <c r="N3" s="2154"/>
      <c r="O3" s="2154"/>
      <c r="P3" s="2154"/>
      <c r="Q3" s="2154"/>
      <c r="R3" s="2154"/>
    </row>
    <row r="4" spans="1:18" x14ac:dyDescent="0.2">
      <c r="A4" s="2155" t="s">
        <v>1635</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Tri-County SpEd Joint Agreement</v>
      </c>
      <c r="E7" s="391"/>
      <c r="G7" s="252"/>
      <c r="H7" s="387"/>
      <c r="I7" s="387"/>
      <c r="J7" s="387"/>
      <c r="K7" s="387"/>
      <c r="L7" s="329"/>
      <c r="M7" s="329"/>
      <c r="N7" s="329"/>
      <c r="O7" s="329"/>
      <c r="P7" s="329"/>
    </row>
    <row r="8" spans="1:18" ht="12.75" x14ac:dyDescent="0.2">
      <c r="A8" s="329"/>
      <c r="B8" s="329"/>
      <c r="C8" s="389" t="s">
        <v>1187</v>
      </c>
      <c r="D8" s="392">
        <f>COVER!A13</f>
        <v>30039186061</v>
      </c>
      <c r="E8" s="393"/>
      <c r="G8" s="329"/>
      <c r="H8" s="329"/>
      <c r="I8" s="329"/>
      <c r="J8" s="329"/>
      <c r="K8" s="329"/>
      <c r="L8" s="329"/>
      <c r="M8" s="329"/>
      <c r="N8" s="329"/>
      <c r="O8" s="329"/>
      <c r="P8" s="329"/>
    </row>
    <row r="9" spans="1:18" ht="12.75" x14ac:dyDescent="0.2">
      <c r="A9" s="329"/>
      <c r="B9" s="329"/>
      <c r="C9" s="389" t="s">
        <v>737</v>
      </c>
      <c r="D9" s="394" t="str">
        <f>COVER!A15</f>
        <v>Jackson, Perry, and 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3805354</v>
      </c>
      <c r="I12" s="404"/>
      <c r="J12" s="404"/>
      <c r="K12" s="405">
        <f>TRUNC((H12/H13*100000),5)/100000</f>
        <v>0.28812483380000004</v>
      </c>
      <c r="L12" s="406"/>
      <c r="M12" s="360" t="s">
        <v>1206</v>
      </c>
      <c r="N12" s="360"/>
      <c r="O12" s="407">
        <v>0.35</v>
      </c>
      <c r="P12" s="218"/>
      <c r="Q12" s="218"/>
    </row>
    <row r="13" spans="1:18" s="408" customFormat="1" ht="12.75" x14ac:dyDescent="0.2">
      <c r="A13" s="218"/>
      <c r="B13" s="401"/>
      <c r="C13" s="2151" t="s">
        <v>1391</v>
      </c>
      <c r="D13" s="2152"/>
      <c r="E13" s="218"/>
      <c r="F13" s="409" t="s">
        <v>826</v>
      </c>
      <c r="G13" s="402"/>
      <c r="H13" s="403">
        <f>SUM('Acct Summary 7-8'!C8+'Acct Summary 7-8'!D8+'Acct Summary 7-8'!F8+'Acct Summary 7-8'!I8)+H14</f>
        <v>13207310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12338870</v>
      </c>
      <c r="I17" s="404"/>
      <c r="J17" s="416"/>
      <c r="K17" s="405">
        <f>TRUNC((H17/H18*100000),5)/100000</f>
        <v>0.93424550489999991</v>
      </c>
      <c r="L17" s="406"/>
      <c r="M17" s="417" t="s">
        <v>1233</v>
      </c>
      <c r="O17" s="418" t="str">
        <f>IF(AND(O16="2", J20 &gt; 2),"1",IF(AND(O16 = "1", J20 &gt; 2),"2",IF(AND(O16="1", J20 &gt;1),"1","0")))</f>
        <v>0</v>
      </c>
      <c r="P17" s="218"/>
    </row>
    <row r="18" spans="1:18" s="408" customFormat="1" ht="11.25" x14ac:dyDescent="0.2">
      <c r="A18" s="218"/>
      <c r="B18" s="401"/>
      <c r="C18" s="2151" t="s">
        <v>1384</v>
      </c>
      <c r="D18" s="2152"/>
      <c r="E18" s="218"/>
      <c r="F18" s="419" t="s">
        <v>827</v>
      </c>
      <c r="G18" s="402"/>
      <c r="H18" s="403">
        <f>SUM('Acct Summary 7-8'!C8+'Acct Summary 7-8'!D8+'Acct Summary 7-8'!F8+'Acct Summary 7-8'!I8)+H19</f>
        <v>13207310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48" t="s">
        <v>1479</v>
      </c>
      <c r="D24" s="2148"/>
      <c r="E24" s="218"/>
      <c r="F24" s="218" t="s">
        <v>465</v>
      </c>
      <c r="G24" s="402"/>
      <c r="H24" s="403">
        <f>SUM('Assets-Liab 5-6'!C4+'Assets-Liab 5-6'!D4+'Assets-Liab 5-6'!F4+'Assets-Liab 5-6'!I4+'Assets-Liab 5-6'!C5+'Assets-Liab 5-6'!D5+'Assets-Liab 5-6'!F5+'Assets-Liab 5-6'!I5)</f>
        <v>3624861</v>
      </c>
      <c r="I24" s="422"/>
      <c r="J24" s="422"/>
      <c r="K24" s="423">
        <f>TRUNC(((H24/H25*100000)/100000),2)</f>
        <v>105.75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34274.638890000002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H37" sqref="H37"/>
      <selection pane="bottomLeft" activeCell="H37" sqref="H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8" t="s">
        <v>1030</v>
      </c>
      <c r="B3" s="2159"/>
      <c r="C3" s="1580"/>
      <c r="D3" s="1581"/>
      <c r="E3" s="1581"/>
      <c r="F3" s="1581"/>
      <c r="G3" s="1581"/>
      <c r="H3" s="1581"/>
      <c r="I3" s="1581"/>
      <c r="J3" s="1581"/>
      <c r="K3" s="1581"/>
      <c r="L3" s="1581"/>
      <c r="M3" s="1582"/>
      <c r="N3" s="1583"/>
    </row>
    <row r="4" spans="1:14" ht="13.5" customHeight="1" x14ac:dyDescent="0.2">
      <c r="A4" s="463" t="s">
        <v>1750</v>
      </c>
      <c r="B4" s="464"/>
      <c r="C4" s="465">
        <v>232693</v>
      </c>
      <c r="D4" s="466"/>
      <c r="E4" s="466"/>
      <c r="F4" s="466"/>
      <c r="G4" s="466"/>
      <c r="H4" s="466"/>
      <c r="I4" s="466"/>
      <c r="J4" s="467"/>
      <c r="K4" s="466"/>
      <c r="L4" s="466">
        <v>21571</v>
      </c>
      <c r="M4" s="468"/>
      <c r="N4" s="469"/>
    </row>
    <row r="5" spans="1:14" x14ac:dyDescent="0.2">
      <c r="A5" s="463" t="s">
        <v>1049</v>
      </c>
      <c r="B5" s="470">
        <v>120</v>
      </c>
      <c r="C5" s="465">
        <v>3392168</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3624861</v>
      </c>
      <c r="D13" s="1752">
        <f t="shared" ref="D13:L13" si="0">SUM(D4:D12)</f>
        <v>0</v>
      </c>
      <c r="E13" s="1752">
        <f t="shared" si="0"/>
        <v>0</v>
      </c>
      <c r="F13" s="1752">
        <f t="shared" si="0"/>
        <v>0</v>
      </c>
      <c r="G13" s="1752">
        <f t="shared" si="0"/>
        <v>0</v>
      </c>
      <c r="H13" s="1752">
        <f t="shared" si="0"/>
        <v>0</v>
      </c>
      <c r="I13" s="1752">
        <f t="shared" si="0"/>
        <v>0</v>
      </c>
      <c r="J13" s="1752">
        <f t="shared" si="0"/>
        <v>0</v>
      </c>
      <c r="K13" s="1752">
        <f t="shared" si="0"/>
        <v>0</v>
      </c>
      <c r="L13" s="1752">
        <f t="shared" si="0"/>
        <v>21571</v>
      </c>
      <c r="M13" s="468"/>
      <c r="N13" s="469"/>
    </row>
    <row r="14" spans="1:14" ht="18" customHeight="1" thickTop="1" x14ac:dyDescent="0.2">
      <c r="A14" s="2160" t="s">
        <v>149</v>
      </c>
      <c r="B14" s="2161"/>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7000</v>
      </c>
      <c r="N16" s="484"/>
    </row>
    <row r="17" spans="1:14" s="485" customFormat="1" ht="12.75" customHeight="1" x14ac:dyDescent="0.2">
      <c r="A17" s="482" t="s">
        <v>1470</v>
      </c>
      <c r="B17" s="483">
        <v>230</v>
      </c>
      <c r="C17" s="477"/>
      <c r="D17" s="477"/>
      <c r="E17" s="477"/>
      <c r="F17" s="477"/>
      <c r="G17" s="477"/>
      <c r="H17" s="477"/>
      <c r="I17" s="477"/>
      <c r="J17" s="477"/>
      <c r="K17" s="477"/>
      <c r="L17" s="477"/>
      <c r="M17" s="467">
        <v>230837</v>
      </c>
      <c r="N17" s="484"/>
    </row>
    <row r="18" spans="1:14" s="485" customFormat="1" ht="12.75" customHeight="1" x14ac:dyDescent="0.2">
      <c r="A18" s="482" t="s">
        <v>1471</v>
      </c>
      <c r="B18" s="483">
        <v>240</v>
      </c>
      <c r="C18" s="477"/>
      <c r="D18" s="477"/>
      <c r="E18" s="477"/>
      <c r="F18" s="477"/>
      <c r="G18" s="477"/>
      <c r="H18" s="477"/>
      <c r="I18" s="477"/>
      <c r="J18" s="477"/>
      <c r="K18" s="477"/>
      <c r="L18" s="477"/>
      <c r="M18" s="467">
        <v>38600</v>
      </c>
      <c r="N18" s="484"/>
    </row>
    <row r="19" spans="1:14" s="485" customFormat="1" ht="12.75" customHeight="1" x14ac:dyDescent="0.2">
      <c r="A19" s="482" t="s">
        <v>1472</v>
      </c>
      <c r="B19" s="483">
        <v>250</v>
      </c>
      <c r="C19" s="477"/>
      <c r="D19" s="477"/>
      <c r="E19" s="477"/>
      <c r="F19" s="477"/>
      <c r="G19" s="477"/>
      <c r="H19" s="477"/>
      <c r="I19" s="477"/>
      <c r="J19" s="477"/>
      <c r="K19" s="477"/>
      <c r="L19" s="477"/>
      <c r="M19" s="467">
        <v>1572565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1" t="s">
        <v>664</v>
      </c>
      <c r="B23" s="1756"/>
      <c r="C23" s="468"/>
      <c r="D23" s="468"/>
      <c r="E23" s="468"/>
      <c r="F23" s="468"/>
      <c r="G23" s="468"/>
      <c r="H23" s="468"/>
      <c r="I23" s="468"/>
      <c r="J23" s="468"/>
      <c r="K23" s="468"/>
      <c r="L23" s="468"/>
      <c r="M23" s="1703">
        <f>SUM(M15:M22)</f>
        <v>1849002</v>
      </c>
      <c r="N23" s="1703">
        <f>SUM(N21:N22)</f>
        <v>0</v>
      </c>
    </row>
    <row r="24" spans="1:14" ht="18" customHeight="1" thickTop="1" x14ac:dyDescent="0.2">
      <c r="A24" s="2162" t="s">
        <v>619</v>
      </c>
      <c r="B24" s="2163"/>
      <c r="C24" s="1589"/>
      <c r="D24" s="1586"/>
      <c r="E24" s="1586"/>
      <c r="F24" s="1586"/>
      <c r="G24" s="1586"/>
      <c r="H24" s="1586"/>
      <c r="I24" s="1586"/>
      <c r="J24" s="1586"/>
      <c r="K24" s="1586"/>
      <c r="L24" s="1586"/>
      <c r="M24" s="1585"/>
      <c r="N24" s="1590"/>
    </row>
    <row r="25" spans="1:14" x14ac:dyDescent="0.2">
      <c r="A25" s="473" t="s">
        <v>666</v>
      </c>
      <c r="B25" s="470">
        <v>410</v>
      </c>
      <c r="C25" s="478">
        <v>2911</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59339</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-86093</v>
      </c>
      <c r="D30" s="474"/>
      <c r="E30" s="467"/>
      <c r="F30" s="467"/>
      <c r="G30" s="467"/>
      <c r="H30" s="467"/>
      <c r="I30" s="467"/>
      <c r="J30" s="467"/>
      <c r="K30" s="478"/>
      <c r="L30" s="468"/>
      <c r="M30" s="468"/>
      <c r="N30" s="468"/>
    </row>
    <row r="31" spans="1:14" ht="13.5" customHeight="1" x14ac:dyDescent="0.2">
      <c r="A31" s="473" t="s">
        <v>672</v>
      </c>
      <c r="B31" s="470">
        <v>480</v>
      </c>
      <c r="C31" s="466">
        <v>-156650</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21571</v>
      </c>
      <c r="M33" s="468"/>
      <c r="N33" s="469"/>
    </row>
    <row r="34" spans="1:14" ht="13.5" customHeight="1" thickBot="1" x14ac:dyDescent="0.25">
      <c r="A34" s="1753" t="s">
        <v>675</v>
      </c>
      <c r="B34" s="1754"/>
      <c r="C34" s="1755">
        <f>SUM(C25:C33)</f>
        <v>-180493</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21571</v>
      </c>
      <c r="M34" s="468"/>
      <c r="N34" s="480"/>
    </row>
    <row r="35" spans="1:14" ht="18" customHeight="1" thickTop="1" x14ac:dyDescent="0.2">
      <c r="A35" s="2164" t="s">
        <v>550</v>
      </c>
      <c r="B35" s="216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1" t="s">
        <v>674</v>
      </c>
      <c r="B37" s="1756"/>
      <c r="C37" s="477"/>
      <c r="D37" s="477"/>
      <c r="E37" s="477"/>
      <c r="F37" s="477"/>
      <c r="G37" s="477"/>
      <c r="H37" s="477"/>
      <c r="I37" s="477"/>
      <c r="J37" s="477"/>
      <c r="K37" s="477"/>
      <c r="L37" s="480"/>
      <c r="M37" s="468"/>
      <c r="N37" s="1703">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3805354</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1849002</v>
      </c>
      <c r="N40" s="497"/>
    </row>
    <row r="41" spans="1:14" ht="13.5" customHeight="1" thickBot="1" x14ac:dyDescent="0.25">
      <c r="A41" s="1751" t="s">
        <v>676</v>
      </c>
      <c r="B41" s="1721"/>
      <c r="C41" s="1703">
        <f>(SUM(C34,C37,C38,C39))</f>
        <v>3624861</v>
      </c>
      <c r="D41" s="1703">
        <f t="shared" ref="D41:L41" si="2">SUM(D34,D37,D38:D39)</f>
        <v>0</v>
      </c>
      <c r="E41" s="1703">
        <f t="shared" si="2"/>
        <v>0</v>
      </c>
      <c r="F41" s="1703">
        <f t="shared" si="2"/>
        <v>0</v>
      </c>
      <c r="G41" s="1703">
        <f t="shared" si="2"/>
        <v>0</v>
      </c>
      <c r="H41" s="1703">
        <f t="shared" si="2"/>
        <v>0</v>
      </c>
      <c r="I41" s="1703">
        <f t="shared" si="2"/>
        <v>0</v>
      </c>
      <c r="J41" s="1703">
        <f t="shared" si="2"/>
        <v>0</v>
      </c>
      <c r="K41" s="1703">
        <f t="shared" si="2"/>
        <v>0</v>
      </c>
      <c r="L41" s="1703">
        <f t="shared" si="2"/>
        <v>21571</v>
      </c>
      <c r="M41" s="1703">
        <f>SUM(M40)</f>
        <v>1849002</v>
      </c>
      <c r="N41" s="1703">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H37" sqref="H37"/>
      <selection pane="bottomLeft" activeCell="H37" sqref="H3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6" t="s">
        <v>1237</v>
      </c>
      <c r="B3" s="2187"/>
      <c r="C3" s="1594"/>
      <c r="D3" s="1595"/>
      <c r="E3" s="1595"/>
      <c r="F3" s="1595"/>
      <c r="G3" s="1595"/>
      <c r="H3" s="1595"/>
      <c r="I3" s="1595"/>
      <c r="J3" s="1595"/>
      <c r="K3" s="1596"/>
      <c r="L3" s="506"/>
    </row>
    <row r="4" spans="1:13" ht="15.75" customHeight="1" x14ac:dyDescent="0.2">
      <c r="A4" s="1943" t="s">
        <v>1579</v>
      </c>
      <c r="B4" s="1944">
        <v>1000</v>
      </c>
      <c r="C4" s="1757">
        <f>'Revenues 9-14'!C109</f>
        <v>5575868</v>
      </c>
      <c r="D4" s="1757">
        <f>'Revenues 9-14'!D109</f>
        <v>0</v>
      </c>
      <c r="E4" s="1757">
        <f>'Revenues 9-14'!E109</f>
        <v>0</v>
      </c>
      <c r="F4" s="1757">
        <f>'Revenues 9-14'!F109</f>
        <v>0</v>
      </c>
      <c r="G4" s="1757">
        <f>'Revenues 9-14'!G109</f>
        <v>0</v>
      </c>
      <c r="H4" s="1757">
        <f>'Revenues 9-14'!H109</f>
        <v>0</v>
      </c>
      <c r="I4" s="1757">
        <f>'Revenues 9-14'!I109</f>
        <v>0</v>
      </c>
      <c r="J4" s="1757">
        <f>'Revenues 9-14'!J109</f>
        <v>0</v>
      </c>
      <c r="K4" s="1757">
        <f>'Revenues 9-14'!K109</f>
        <v>0</v>
      </c>
      <c r="L4" s="347"/>
    </row>
    <row r="5" spans="1:13" ht="15.75" customHeight="1" x14ac:dyDescent="0.2">
      <c r="A5" s="1597" t="s">
        <v>1580</v>
      </c>
      <c r="B5" s="1598">
        <v>2000</v>
      </c>
      <c r="C5" s="1758">
        <f>'Revenues 9-14'!C114</f>
        <v>601500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7" t="s">
        <v>1581</v>
      </c>
      <c r="B6" s="1599">
        <v>3000</v>
      </c>
      <c r="C6" s="1758">
        <f>'Revenues 9-14'!C173</f>
        <v>1786043</v>
      </c>
      <c r="D6" s="1758">
        <f>'Revenues 9-14'!D173</f>
        <v>0</v>
      </c>
      <c r="E6" s="1758">
        <f>'Revenues 9-14'!E173</f>
        <v>0</v>
      </c>
      <c r="F6" s="1758">
        <f>'Revenues 9-14'!F173</f>
        <v>0</v>
      </c>
      <c r="G6" s="1758">
        <f>'Revenues 9-14'!G173</f>
        <v>0</v>
      </c>
      <c r="H6" s="1758">
        <f>'Revenues 9-14'!H173</f>
        <v>0</v>
      </c>
      <c r="I6" s="1758">
        <f>'Revenues 9-14'!I173</f>
        <v>0</v>
      </c>
      <c r="J6" s="1758">
        <f>'Revenues 9-14'!J173</f>
        <v>0</v>
      </c>
      <c r="K6" s="1758">
        <f>'Revenues 9-14'!K173</f>
        <v>0</v>
      </c>
      <c r="L6" s="347"/>
      <c r="M6" s="513"/>
    </row>
    <row r="7" spans="1:13" ht="15.75" customHeight="1" x14ac:dyDescent="0.2">
      <c r="A7" s="1597" t="s">
        <v>1582</v>
      </c>
      <c r="B7" s="1599">
        <v>4000</v>
      </c>
      <c r="C7" s="1758">
        <f>'Revenues 9-14'!C274</f>
        <v>5243899</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13207310</v>
      </c>
      <c r="D8" s="1703">
        <f t="shared" ref="D8:K8" si="0">SUM(D4:D7)</f>
        <v>0</v>
      </c>
      <c r="E8" s="1703">
        <f t="shared" si="0"/>
        <v>0</v>
      </c>
      <c r="F8" s="1703">
        <f t="shared" si="0"/>
        <v>0</v>
      </c>
      <c r="G8" s="1703">
        <f t="shared" si="0"/>
        <v>0</v>
      </c>
      <c r="H8" s="1703">
        <f t="shared" si="0"/>
        <v>0</v>
      </c>
      <c r="I8" s="1703">
        <f t="shared" si="0"/>
        <v>0</v>
      </c>
      <c r="J8" s="1703">
        <f t="shared" si="0"/>
        <v>0</v>
      </c>
      <c r="K8" s="1703">
        <f t="shared" si="0"/>
        <v>0</v>
      </c>
      <c r="L8" s="347"/>
    </row>
    <row r="9" spans="1:13" ht="15.75" thickTop="1" x14ac:dyDescent="0.2">
      <c r="A9" s="514" t="s">
        <v>1752</v>
      </c>
      <c r="B9" s="515">
        <v>3998</v>
      </c>
      <c r="C9" s="481">
        <v>546848</v>
      </c>
      <c r="D9" s="516"/>
      <c r="E9" s="481"/>
      <c r="F9" s="481"/>
      <c r="G9" s="517"/>
      <c r="H9" s="481"/>
      <c r="I9" s="509" t="s">
        <v>1231</v>
      </c>
      <c r="J9" s="478"/>
      <c r="K9" s="481"/>
      <c r="L9" s="347"/>
    </row>
    <row r="10" spans="1:13" s="519" customFormat="1" ht="13.5" thickBot="1" x14ac:dyDescent="0.25">
      <c r="A10" s="1751" t="s">
        <v>1235</v>
      </c>
      <c r="B10" s="1724"/>
      <c r="C10" s="1703">
        <f>SUM(C8:C9)</f>
        <v>13754158</v>
      </c>
      <c r="D10" s="1703">
        <f t="shared" ref="D10:K10" si="1">SUM(D8:D9)</f>
        <v>0</v>
      </c>
      <c r="E10" s="1703">
        <f t="shared" si="1"/>
        <v>0</v>
      </c>
      <c r="F10" s="1703">
        <f t="shared" si="1"/>
        <v>0</v>
      </c>
      <c r="G10" s="1703">
        <f t="shared" si="1"/>
        <v>0</v>
      </c>
      <c r="H10" s="1703">
        <f t="shared" si="1"/>
        <v>0</v>
      </c>
      <c r="I10" s="1703">
        <f t="shared" si="1"/>
        <v>0</v>
      </c>
      <c r="J10" s="1703">
        <f t="shared" si="1"/>
        <v>0</v>
      </c>
      <c r="K10" s="1703">
        <f t="shared" si="1"/>
        <v>0</v>
      </c>
      <c r="L10" s="518"/>
    </row>
    <row r="11" spans="1:13" s="519" customFormat="1" ht="16.7" customHeight="1" thickTop="1" x14ac:dyDescent="0.2">
      <c r="A11" s="2160" t="s">
        <v>1238</v>
      </c>
      <c r="B11" s="2161"/>
      <c r="C11" s="1591"/>
      <c r="D11" s="1592"/>
      <c r="E11" s="1592"/>
      <c r="F11" s="1592"/>
      <c r="G11" s="1592"/>
      <c r="H11" s="1592"/>
      <c r="I11" s="1592"/>
      <c r="J11" s="1592"/>
      <c r="K11" s="1593"/>
      <c r="L11" s="518"/>
    </row>
    <row r="12" spans="1:13" ht="15.75" customHeight="1" x14ac:dyDescent="0.2">
      <c r="A12" s="1597" t="s">
        <v>476</v>
      </c>
      <c r="B12" s="1599">
        <v>1000</v>
      </c>
      <c r="C12" s="1757">
        <f>'Expenditures 15-22'!K33</f>
        <v>5775488</v>
      </c>
      <c r="D12" s="520" t="s">
        <v>1231</v>
      </c>
      <c r="E12" s="468" t="s">
        <v>1231</v>
      </c>
      <c r="F12" s="468" t="s">
        <v>1231</v>
      </c>
      <c r="G12" s="1757">
        <f>'Expenditures 15-22'!K229</f>
        <v>0</v>
      </c>
      <c r="H12" s="521"/>
      <c r="I12" s="468" t="s">
        <v>1231</v>
      </c>
      <c r="J12" s="468" t="s">
        <v>1231</v>
      </c>
      <c r="K12" s="521" t="s">
        <v>1231</v>
      </c>
      <c r="L12" s="347"/>
    </row>
    <row r="13" spans="1:13" ht="15.75" customHeight="1" x14ac:dyDescent="0.2">
      <c r="A13" s="1597" t="s">
        <v>477</v>
      </c>
      <c r="B13" s="1599">
        <v>2000</v>
      </c>
      <c r="C13" s="1758">
        <f>'Expenditures 15-22'!K74</f>
        <v>5461709</v>
      </c>
      <c r="D13" s="1758">
        <f>'Expenditures 15-22'!K129</f>
        <v>0</v>
      </c>
      <c r="E13" s="469" t="s">
        <v>1231</v>
      </c>
      <c r="F13" s="1758">
        <f>'Expenditures 15-22'!K184</f>
        <v>0</v>
      </c>
      <c r="G13" s="1758">
        <f>'Expenditures 15-22'!K279</f>
        <v>0</v>
      </c>
      <c r="H13" s="1758">
        <f>'Expenditures 15-22'!K303</f>
        <v>0</v>
      </c>
      <c r="I13" s="468" t="s">
        <v>1231</v>
      </c>
      <c r="J13" s="1758">
        <f>'Expenditures 15-22'!K330</f>
        <v>0</v>
      </c>
      <c r="K13" s="1762">
        <f>'Expenditures 15-22'!K352</f>
        <v>0</v>
      </c>
      <c r="L13" s="347"/>
    </row>
    <row r="14" spans="1:13" ht="15.75" customHeight="1" x14ac:dyDescent="0.2">
      <c r="A14" s="1597" t="s">
        <v>469</v>
      </c>
      <c r="B14" s="1599">
        <v>3000</v>
      </c>
      <c r="C14" s="1758">
        <f>'Expenditures 15-22'!K75</f>
        <v>0</v>
      </c>
      <c r="D14" s="1758">
        <f>'Expenditures 15-22'!K130</f>
        <v>0</v>
      </c>
      <c r="E14" s="520" t="s">
        <v>1231</v>
      </c>
      <c r="F14" s="1758">
        <f>'Expenditures 15-22'!K185</f>
        <v>0</v>
      </c>
      <c r="G14" s="1758">
        <f>'Expenditures 15-22'!K280</f>
        <v>0</v>
      </c>
      <c r="H14" s="512"/>
      <c r="I14" s="468" t="s">
        <v>1231</v>
      </c>
      <c r="J14" s="468" t="s">
        <v>1231</v>
      </c>
      <c r="K14" s="512" t="s">
        <v>1231</v>
      </c>
      <c r="L14" s="347"/>
    </row>
    <row r="15" spans="1:13" ht="15.75" customHeight="1" x14ac:dyDescent="0.2">
      <c r="A15" s="1597" t="s">
        <v>109</v>
      </c>
      <c r="B15" s="1599">
        <v>4000</v>
      </c>
      <c r="C15" s="1758">
        <f>'Expenditures 15-22'!K102</f>
        <v>1101673</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7" t="s">
        <v>470</v>
      </c>
      <c r="B16" s="1599">
        <v>5000</v>
      </c>
      <c r="C16" s="1758">
        <f>'Expenditures 15-22'!K112</f>
        <v>0</v>
      </c>
      <c r="D16" s="1758">
        <f>'Expenditures 15-22'!K149</f>
        <v>0</v>
      </c>
      <c r="E16" s="1758">
        <f>'Expenditures 15-22'!K172</f>
        <v>0</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12338870</v>
      </c>
      <c r="D17" s="1703">
        <f t="shared" si="2"/>
        <v>0</v>
      </c>
      <c r="E17" s="1703">
        <f t="shared" si="2"/>
        <v>0</v>
      </c>
      <c r="F17" s="1703">
        <f t="shared" si="2"/>
        <v>0</v>
      </c>
      <c r="G17" s="1703">
        <f t="shared" si="2"/>
        <v>0</v>
      </c>
      <c r="H17" s="1703">
        <f t="shared" si="2"/>
        <v>0</v>
      </c>
      <c r="I17" s="468"/>
      <c r="J17" s="1703">
        <f>SUM(J12:J16)</f>
        <v>0</v>
      </c>
      <c r="K17" s="1703">
        <f>SUM(K12:K16)</f>
        <v>0</v>
      </c>
      <c r="L17" s="347"/>
    </row>
    <row r="18" spans="1:12" ht="15" customHeight="1" thickTop="1" x14ac:dyDescent="0.2">
      <c r="A18" s="1759" t="s">
        <v>1753</v>
      </c>
      <c r="B18" s="1760">
        <v>4180</v>
      </c>
      <c r="C18" s="1757">
        <f t="shared" ref="C18:H18" si="3">C9</f>
        <v>546848</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12885718</v>
      </c>
      <c r="D19" s="1703">
        <f t="shared" si="4"/>
        <v>0</v>
      </c>
      <c r="E19" s="1703">
        <f t="shared" si="4"/>
        <v>0</v>
      </c>
      <c r="F19" s="1703">
        <f t="shared" si="4"/>
        <v>0</v>
      </c>
      <c r="G19" s="1703">
        <f t="shared" si="4"/>
        <v>0</v>
      </c>
      <c r="H19" s="1703">
        <f t="shared" si="4"/>
        <v>0</v>
      </c>
      <c r="I19" s="468"/>
      <c r="J19" s="1703">
        <f>SUM(J17:J18)</f>
        <v>0</v>
      </c>
      <c r="K19" s="1703">
        <f>SUM(K17:K18)</f>
        <v>0</v>
      </c>
      <c r="L19" s="347"/>
    </row>
    <row r="20" spans="1:12" ht="16.5" thickTop="1" thickBot="1" x14ac:dyDescent="0.25">
      <c r="A20" s="2176" t="s">
        <v>1754</v>
      </c>
      <c r="B20" s="2177"/>
      <c r="C20" s="1761">
        <f>C8-C17</f>
        <v>868440</v>
      </c>
      <c r="D20" s="1761">
        <f t="shared" ref="D20:K20" si="5">D8-D17</f>
        <v>0</v>
      </c>
      <c r="E20" s="1761">
        <f t="shared" si="5"/>
        <v>0</v>
      </c>
      <c r="F20" s="1761">
        <f t="shared" si="5"/>
        <v>0</v>
      </c>
      <c r="G20" s="1761">
        <f t="shared" si="5"/>
        <v>0</v>
      </c>
      <c r="H20" s="1761">
        <f t="shared" si="5"/>
        <v>0</v>
      </c>
      <c r="I20" s="1761">
        <f t="shared" si="5"/>
        <v>0</v>
      </c>
      <c r="J20" s="1761">
        <f t="shared" si="5"/>
        <v>0</v>
      </c>
      <c r="K20" s="1761">
        <f t="shared" si="5"/>
        <v>0</v>
      </c>
      <c r="L20" s="347"/>
    </row>
    <row r="21" spans="1:12" ht="16.7" customHeight="1" thickTop="1" x14ac:dyDescent="0.2">
      <c r="A21" s="2188" t="s">
        <v>616</v>
      </c>
      <c r="B21" s="2189"/>
      <c r="C21" s="1591"/>
      <c r="D21" s="1592"/>
      <c r="E21" s="1592"/>
      <c r="F21" s="1592"/>
      <c r="G21" s="1592"/>
      <c r="H21" s="1592"/>
      <c r="I21" s="1592"/>
      <c r="J21" s="1592"/>
      <c r="K21" s="1593"/>
      <c r="L21" s="524"/>
    </row>
    <row r="22" spans="1:12" ht="15.75" customHeight="1" collapsed="1" x14ac:dyDescent="0.2">
      <c r="A22" s="2184" t="s">
        <v>617</v>
      </c>
      <c r="B22" s="2185"/>
      <c r="C22" s="477"/>
      <c r="D22" s="477"/>
      <c r="E22" s="477"/>
      <c r="F22" s="477"/>
      <c r="G22" s="477"/>
      <c r="H22" s="477"/>
      <c r="I22" s="477"/>
      <c r="J22" s="477"/>
      <c r="K22" s="477"/>
      <c r="L22" s="347"/>
    </row>
    <row r="23" spans="1:12" s="485" customFormat="1" ht="15.75" customHeight="1" x14ac:dyDescent="0.2">
      <c r="A23" s="2180" t="s">
        <v>311</v>
      </c>
      <c r="B23" s="2181"/>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1893</v>
      </c>
      <c r="B30" s="527">
        <v>7160</v>
      </c>
      <c r="C30" s="477"/>
      <c r="D30" s="467"/>
      <c r="E30" s="477"/>
      <c r="F30" s="477"/>
      <c r="G30" s="477"/>
      <c r="H30" s="477"/>
      <c r="I30" s="477"/>
      <c r="J30" s="477"/>
      <c r="K30" s="477"/>
      <c r="L30" s="524"/>
    </row>
    <row r="31" spans="1:12" s="485" customFormat="1" ht="26.25" x14ac:dyDescent="0.2">
      <c r="A31" s="1510" t="s">
        <v>1897</v>
      </c>
      <c r="B31" s="527">
        <v>7170</v>
      </c>
      <c r="C31" s="477"/>
      <c r="D31" s="477"/>
      <c r="E31" s="474"/>
      <c r="F31" s="477"/>
      <c r="G31" s="477"/>
      <c r="H31" s="477"/>
      <c r="I31" s="477"/>
      <c r="J31" s="477"/>
      <c r="K31" s="477"/>
      <c r="L31" s="524"/>
    </row>
    <row r="32" spans="1:12" s="485" customFormat="1" ht="15.75" customHeight="1" x14ac:dyDescent="0.2">
      <c r="A32" s="2182" t="s">
        <v>1038</v>
      </c>
      <c r="B32" s="2183"/>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58">
        <f>SUM(C54:D57,H54:H57)</f>
        <v>0</v>
      </c>
      <c r="F37" s="475"/>
      <c r="G37" s="475"/>
      <c r="H37" s="475"/>
      <c r="I37" s="477"/>
      <c r="J37" s="475"/>
      <c r="K37" s="475"/>
      <c r="L37" s="524"/>
    </row>
    <row r="38" spans="1:12" s="485" customFormat="1" x14ac:dyDescent="0.2">
      <c r="A38" s="1510" t="s">
        <v>462</v>
      </c>
      <c r="B38" s="525">
        <v>7500</v>
      </c>
      <c r="C38" s="477"/>
      <c r="D38" s="477"/>
      <c r="E38" s="1758">
        <f>SUM(C58:D61,H58:H61)</f>
        <v>0</v>
      </c>
      <c r="F38" s="477"/>
      <c r="G38" s="477"/>
      <c r="H38" s="477"/>
      <c r="I38" s="477"/>
      <c r="J38" s="477"/>
      <c r="K38" s="477"/>
      <c r="L38" s="524"/>
    </row>
    <row r="39" spans="1:12" s="485" customFormat="1" x14ac:dyDescent="0.2">
      <c r="A39" s="1510" t="s">
        <v>463</v>
      </c>
      <c r="B39" s="525">
        <v>7600</v>
      </c>
      <c r="C39" s="477"/>
      <c r="D39" s="477"/>
      <c r="E39" s="1758">
        <f>SUM(C62:D65)</f>
        <v>0</v>
      </c>
      <c r="F39" s="477"/>
      <c r="G39" s="477"/>
      <c r="H39" s="477"/>
      <c r="I39" s="477"/>
      <c r="J39" s="477"/>
      <c r="K39" s="477"/>
      <c r="L39" s="524"/>
    </row>
    <row r="40" spans="1:12" s="485" customFormat="1" ht="13.5" customHeight="1" x14ac:dyDescent="0.2">
      <c r="A40" s="1510" t="s">
        <v>663</v>
      </c>
      <c r="B40" s="483">
        <v>7700</v>
      </c>
      <c r="C40" s="477"/>
      <c r="D40" s="477"/>
      <c r="E40" s="1758">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58">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90" t="s">
        <v>392</v>
      </c>
      <c r="B44" s="2191"/>
      <c r="C44" s="1718">
        <f>SUM(C24:C43)</f>
        <v>0</v>
      </c>
      <c r="D44" s="1718">
        <f t="shared" ref="D44:K44" si="6">SUM(D24:D43)</f>
        <v>0</v>
      </c>
      <c r="E44" s="1718">
        <f t="shared" si="6"/>
        <v>0</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58">
        <f>SUM(C24,C25:H25,J25:K25)</f>
        <v>0</v>
      </c>
      <c r="J47" s="477"/>
      <c r="K47" s="477"/>
      <c r="L47" s="529"/>
    </row>
    <row r="48" spans="1:12" s="485" customFormat="1" ht="15" x14ac:dyDescent="0.2">
      <c r="A48" s="1511" t="s">
        <v>1759</v>
      </c>
      <c r="B48" s="483">
        <v>8120</v>
      </c>
      <c r="C48" s="480"/>
      <c r="D48" s="480"/>
      <c r="E48" s="477"/>
      <c r="F48" s="480"/>
      <c r="G48" s="477"/>
      <c r="H48" s="477"/>
      <c r="I48" s="1758">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58">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58">
        <f>D30</f>
        <v>0</v>
      </c>
      <c r="L52" s="524"/>
    </row>
    <row r="53" spans="1:12" s="485" customFormat="1" ht="26.25" x14ac:dyDescent="0.2">
      <c r="A53" s="1511" t="s">
        <v>1895</v>
      </c>
      <c r="B53" s="483">
        <v>8170</v>
      </c>
      <c r="C53" s="480"/>
      <c r="D53" s="480"/>
      <c r="E53" s="477"/>
      <c r="F53" s="477"/>
      <c r="G53" s="477"/>
      <c r="H53" s="480"/>
      <c r="I53" s="477"/>
      <c r="J53" s="477"/>
      <c r="K53" s="1758">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66" t="s">
        <v>460</v>
      </c>
      <c r="B76" s="2167"/>
      <c r="C76" s="1718">
        <f t="shared" ref="C76:K76" si="7">SUM(C47:C75)</f>
        <v>0</v>
      </c>
      <c r="D76" s="1718">
        <f t="shared" si="7"/>
        <v>0</v>
      </c>
      <c r="E76" s="1718">
        <f t="shared" si="7"/>
        <v>0</v>
      </c>
      <c r="F76" s="1718">
        <f t="shared" si="7"/>
        <v>0</v>
      </c>
      <c r="G76" s="1718">
        <f t="shared" si="7"/>
        <v>0</v>
      </c>
      <c r="H76" s="1718">
        <f t="shared" si="7"/>
        <v>0</v>
      </c>
      <c r="I76" s="1718">
        <f t="shared" si="7"/>
        <v>0</v>
      </c>
      <c r="J76" s="1718">
        <f t="shared" si="7"/>
        <v>0</v>
      </c>
      <c r="K76" s="1718">
        <f t="shared" si="7"/>
        <v>0</v>
      </c>
      <c r="L76" s="524"/>
    </row>
    <row r="77" spans="1:12" ht="14.25" thickTop="1" thickBot="1" x14ac:dyDescent="0.25">
      <c r="A77" s="2168" t="s">
        <v>1239</v>
      </c>
      <c r="B77" s="2169"/>
      <c r="C77" s="1718">
        <f t="shared" ref="C77:K77" si="8">C44-C76</f>
        <v>0</v>
      </c>
      <c r="D77" s="1718">
        <f t="shared" si="8"/>
        <v>0</v>
      </c>
      <c r="E77" s="1718">
        <f t="shared" si="8"/>
        <v>0</v>
      </c>
      <c r="F77" s="1718">
        <f t="shared" si="8"/>
        <v>0</v>
      </c>
      <c r="G77" s="1718">
        <f t="shared" si="8"/>
        <v>0</v>
      </c>
      <c r="H77" s="1718">
        <f t="shared" si="8"/>
        <v>0</v>
      </c>
      <c r="I77" s="1718">
        <f t="shared" si="8"/>
        <v>0</v>
      </c>
      <c r="J77" s="1718">
        <f t="shared" si="8"/>
        <v>0</v>
      </c>
      <c r="K77" s="1718">
        <f t="shared" si="8"/>
        <v>0</v>
      </c>
      <c r="L77" s="347"/>
    </row>
    <row r="78" spans="1:12" ht="21.75" customHeight="1" thickTop="1" thickBot="1" x14ac:dyDescent="0.25">
      <c r="A78" s="2172" t="s">
        <v>618</v>
      </c>
      <c r="B78" s="2173"/>
      <c r="C78" s="1717">
        <f t="shared" ref="C78:K78" si="9">C20+C77</f>
        <v>868440</v>
      </c>
      <c r="D78" s="1717">
        <f t="shared" si="9"/>
        <v>0</v>
      </c>
      <c r="E78" s="1717">
        <f t="shared" si="9"/>
        <v>0</v>
      </c>
      <c r="F78" s="1717">
        <f t="shared" si="9"/>
        <v>0</v>
      </c>
      <c r="G78" s="1717">
        <f t="shared" si="9"/>
        <v>0</v>
      </c>
      <c r="H78" s="1717">
        <f t="shared" si="9"/>
        <v>0</v>
      </c>
      <c r="I78" s="1717">
        <f t="shared" si="9"/>
        <v>0</v>
      </c>
      <c r="J78" s="1717">
        <f t="shared" si="9"/>
        <v>0</v>
      </c>
      <c r="K78" s="1717">
        <f t="shared" si="9"/>
        <v>0</v>
      </c>
      <c r="L78" s="533"/>
    </row>
    <row r="79" spans="1:12" ht="13.5" thickTop="1" x14ac:dyDescent="0.2">
      <c r="A79" s="1515" t="s">
        <v>2067</v>
      </c>
      <c r="B79" s="534"/>
      <c r="C79" s="478">
        <v>2936914</v>
      </c>
      <c r="D79" s="535"/>
      <c r="E79" s="535"/>
      <c r="F79" s="535"/>
      <c r="G79" s="535"/>
      <c r="H79" s="535"/>
      <c r="I79" s="535"/>
      <c r="J79" s="535"/>
      <c r="K79" s="535"/>
      <c r="L79" s="347"/>
    </row>
    <row r="80" spans="1:12" x14ac:dyDescent="0.2">
      <c r="A80" s="2178" t="s">
        <v>1894</v>
      </c>
      <c r="B80" s="2179"/>
      <c r="C80" s="467"/>
      <c r="D80" s="467"/>
      <c r="E80" s="467"/>
      <c r="F80" s="467"/>
      <c r="G80" s="467"/>
      <c r="H80" s="467"/>
      <c r="I80" s="467"/>
      <c r="J80" s="467"/>
      <c r="K80" s="467"/>
      <c r="L80" s="347"/>
    </row>
    <row r="81" spans="1:12" ht="13.5" thickBot="1" x14ac:dyDescent="0.25">
      <c r="A81" s="2170" t="s">
        <v>2068</v>
      </c>
      <c r="B81" s="2171"/>
      <c r="C81" s="1703">
        <f>(SUM(C78:C80))</f>
        <v>3805354</v>
      </c>
      <c r="D81" s="1703">
        <f>SUM(D78:D80)</f>
        <v>0</v>
      </c>
      <c r="E81" s="1703">
        <f t="shared" ref="E81:K81" si="10">SUM(E78:E80)</f>
        <v>0</v>
      </c>
      <c r="F81" s="1703">
        <f t="shared" si="10"/>
        <v>0</v>
      </c>
      <c r="G81" s="1703">
        <f t="shared" si="10"/>
        <v>0</v>
      </c>
      <c r="H81" s="1703">
        <f t="shared" si="10"/>
        <v>0</v>
      </c>
      <c r="I81" s="1703">
        <f t="shared" si="10"/>
        <v>0</v>
      </c>
      <c r="J81" s="1703">
        <f t="shared" si="10"/>
        <v>0</v>
      </c>
      <c r="K81" s="1703">
        <f t="shared" si="10"/>
        <v>0</v>
      </c>
      <c r="L81" s="347"/>
    </row>
    <row r="82" spans="1:12" ht="0.75" customHeight="1" thickTop="1" thickBot="1" x14ac:dyDescent="0.25">
      <c r="A82" s="536" t="s">
        <v>361</v>
      </c>
      <c r="B82" s="537"/>
      <c r="C82" s="538">
        <f>(C81-C79)</f>
        <v>868440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0.22821529876064092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37" sqref="H3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1901</v>
      </c>
      <c r="B1" s="452"/>
      <c r="C1" s="453" t="s">
        <v>445</v>
      </c>
      <c r="D1" s="453" t="s">
        <v>446</v>
      </c>
      <c r="E1" s="453" t="s">
        <v>447</v>
      </c>
      <c r="F1" s="453" t="s">
        <v>448</v>
      </c>
      <c r="G1" s="453" t="s">
        <v>449</v>
      </c>
      <c r="H1" s="453" t="s">
        <v>450</v>
      </c>
      <c r="I1" s="453" t="s">
        <v>451</v>
      </c>
      <c r="J1" s="453" t="s">
        <v>452</v>
      </c>
      <c r="K1" s="453" t="s">
        <v>780</v>
      </c>
    </row>
    <row r="2" spans="1:12" ht="36" x14ac:dyDescent="0.2">
      <c r="A2" s="217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0</v>
      </c>
      <c r="D12" s="1722">
        <f t="shared" si="0"/>
        <v>0</v>
      </c>
      <c r="E12" s="1722">
        <f t="shared" si="0"/>
        <v>0</v>
      </c>
      <c r="F12" s="1722">
        <f t="shared" si="0"/>
        <v>0</v>
      </c>
      <c r="G12" s="1722">
        <f t="shared" si="0"/>
        <v>0</v>
      </c>
      <c r="H12" s="1722">
        <f t="shared" si="0"/>
        <v>0</v>
      </c>
      <c r="I12" s="1722">
        <f t="shared" si="0"/>
        <v>0</v>
      </c>
      <c r="J12" s="1722">
        <f t="shared" si="0"/>
        <v>0</v>
      </c>
      <c r="K12" s="1703">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3" t="s">
        <v>558</v>
      </c>
      <c r="B18" s="1724"/>
      <c r="C18" s="1725">
        <f>SUM(C14:C17)</f>
        <v>0</v>
      </c>
      <c r="D18" s="1725">
        <f t="shared" ref="D18:K18" si="1">SUM(D14:D17)</f>
        <v>0</v>
      </c>
      <c r="E18" s="1725">
        <f t="shared" si="1"/>
        <v>0</v>
      </c>
      <c r="F18" s="1725">
        <f t="shared" si="1"/>
        <v>0</v>
      </c>
      <c r="G18" s="1725">
        <f t="shared" si="1"/>
        <v>0</v>
      </c>
      <c r="H18" s="1725">
        <f t="shared" si="1"/>
        <v>0</v>
      </c>
      <c r="I18" s="1725">
        <f t="shared" si="1"/>
        <v>0</v>
      </c>
      <c r="J18" s="1725">
        <f t="shared" si="1"/>
        <v>0</v>
      </c>
      <c r="K18" s="1726">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4493120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3" t="s">
        <v>559</v>
      </c>
      <c r="B40" s="1724"/>
      <c r="C40" s="1703">
        <f>SUM(C20:C39)</f>
        <v>4493120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34329</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34329</v>
      </c>
      <c r="D67" s="1703">
        <f t="shared" ref="D67:K67" si="2">SUM(D65:D66)</f>
        <v>0</v>
      </c>
      <c r="E67" s="1703">
        <f t="shared" si="2"/>
        <v>0</v>
      </c>
      <c r="F67" s="1703">
        <f t="shared" si="2"/>
        <v>0</v>
      </c>
      <c r="G67" s="1703">
        <f t="shared" si="2"/>
        <v>0</v>
      </c>
      <c r="H67" s="1703">
        <f t="shared" si="2"/>
        <v>0</v>
      </c>
      <c r="I67" s="1703">
        <f t="shared" si="2"/>
        <v>0</v>
      </c>
      <c r="J67" s="1703">
        <f t="shared" si="2"/>
        <v>0</v>
      </c>
      <c r="K67" s="1703">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6928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8595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569</v>
      </c>
      <c r="B75" s="1724"/>
      <c r="C75" s="1703">
        <f>SUM(C69:C74)</f>
        <v>15523</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0</v>
      </c>
      <c r="D82" s="1703">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3400</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1029496</v>
      </c>
      <c r="D107" s="466"/>
      <c r="E107" s="466"/>
      <c r="F107" s="466"/>
      <c r="G107" s="466"/>
      <c r="H107" s="466"/>
      <c r="I107" s="466"/>
      <c r="J107" s="467"/>
      <c r="K107" s="466"/>
    </row>
    <row r="108" spans="1:12" ht="12.75" customHeight="1" thickBot="1" x14ac:dyDescent="0.25">
      <c r="A108" s="1723" t="s">
        <v>508</v>
      </c>
      <c r="B108" s="1727"/>
      <c r="C108" s="1722">
        <f>SUM(C95:C107)</f>
        <v>1032896</v>
      </c>
      <c r="D108" s="1722">
        <f t="shared" ref="D108:K108" si="3">SUM(D95:D107)</f>
        <v>0</v>
      </c>
      <c r="E108" s="1722">
        <f t="shared" si="3"/>
        <v>0</v>
      </c>
      <c r="F108" s="1722">
        <f t="shared" si="3"/>
        <v>0</v>
      </c>
      <c r="G108" s="1722">
        <f t="shared" si="3"/>
        <v>0</v>
      </c>
      <c r="H108" s="1722">
        <f t="shared" si="3"/>
        <v>0</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5575868</v>
      </c>
      <c r="D109" s="1730">
        <f t="shared" si="4"/>
        <v>0</v>
      </c>
      <c r="E109" s="1730">
        <f t="shared" si="4"/>
        <v>0</v>
      </c>
      <c r="F109" s="1730">
        <f t="shared" si="4"/>
        <v>0</v>
      </c>
      <c r="G109" s="1730">
        <f t="shared" si="4"/>
        <v>0</v>
      </c>
      <c r="H109" s="1730">
        <f t="shared" si="4"/>
        <v>0</v>
      </c>
      <c r="I109" s="1730">
        <f t="shared" si="4"/>
        <v>0</v>
      </c>
      <c r="J109" s="1730">
        <f t="shared" si="4"/>
        <v>0</v>
      </c>
      <c r="K109" s="1717">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601500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601500</v>
      </c>
      <c r="D114" s="1733">
        <f>SUM(D111:D113)</f>
        <v>0</v>
      </c>
      <c r="E114" s="561" t="s">
        <v>1231</v>
      </c>
      <c r="F114" s="1733">
        <f>SUM(F111:F113)</f>
        <v>0</v>
      </c>
      <c r="G114" s="1733">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1150546</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7" t="s">
        <v>1900</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1150546</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547796</v>
      </c>
      <c r="D126" s="466"/>
      <c r="E126" s="468"/>
      <c r="F126" s="466"/>
      <c r="G126" s="468"/>
      <c r="H126" s="468"/>
      <c r="I126" s="468"/>
      <c r="J126" s="468"/>
      <c r="K126" s="468"/>
    </row>
    <row r="127" spans="1:11" ht="12.75" customHeight="1" x14ac:dyDescent="0.2">
      <c r="A127" s="463" t="s">
        <v>107</v>
      </c>
      <c r="B127" s="562">
        <v>3120</v>
      </c>
      <c r="C127" s="466">
        <v>24791</v>
      </c>
      <c r="D127" s="561"/>
      <c r="E127" s="468"/>
      <c r="F127" s="466"/>
      <c r="G127" s="468"/>
      <c r="H127" s="468"/>
      <c r="I127" s="468"/>
      <c r="J127" s="468"/>
      <c r="K127" s="468"/>
    </row>
    <row r="128" spans="1:11" ht="12.75" customHeight="1" x14ac:dyDescent="0.2">
      <c r="A128" s="463" t="s">
        <v>1522</v>
      </c>
      <c r="B128" s="562">
        <v>3130</v>
      </c>
      <c r="C128" s="466">
        <v>9342</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581929</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0</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0</v>
      </c>
      <c r="D144" s="468"/>
      <c r="E144" s="509"/>
      <c r="F144" s="468"/>
      <c r="G144" s="1736">
        <f>SUM(G142:G143)</f>
        <v>0</v>
      </c>
      <c r="H144" s="468"/>
      <c r="I144" s="468"/>
      <c r="J144" s="468"/>
      <c r="K144" s="468"/>
    </row>
    <row r="145" spans="1:11" s="202" customFormat="1" ht="12.75" customHeight="1" thickTop="1" x14ac:dyDescent="0.2">
      <c r="A145" s="1519" t="s">
        <v>1116</v>
      </c>
      <c r="B145" s="568">
        <v>3360</v>
      </c>
      <c r="C145" s="569">
        <v>4346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v>49222</v>
      </c>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49222</v>
      </c>
      <c r="D154" s="1722">
        <f>SUM(D151:D153)</f>
        <v>0</v>
      </c>
      <c r="E154" s="561"/>
      <c r="F154" s="1722">
        <f>SUM(F151:F153)</f>
        <v>0</v>
      </c>
      <c r="G154" s="1722">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94" t="s">
        <v>418</v>
      </c>
      <c r="B172" s="2195"/>
      <c r="C172" s="1737">
        <f t="shared" ref="C172:K172" si="6">SUM(C131,C140,C144,C145:C149,C154,C155:C170,C171)</f>
        <v>635497</v>
      </c>
      <c r="D172" s="1737">
        <f t="shared" si="6"/>
        <v>0</v>
      </c>
      <c r="E172" s="1737">
        <f t="shared" si="6"/>
        <v>0</v>
      </c>
      <c r="F172" s="1737">
        <f t="shared" si="6"/>
        <v>0</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1786043</v>
      </c>
      <c r="D173" s="1730">
        <f>SUM(D121,D172)</f>
        <v>0</v>
      </c>
      <c r="E173" s="1730">
        <f>SUM(E121,E172)</f>
        <v>0</v>
      </c>
      <c r="F173" s="1730">
        <f t="shared" ref="F173:K173" si="7">SUM(F121,F172)</f>
        <v>0</v>
      </c>
      <c r="G173" s="1730">
        <f t="shared" si="7"/>
        <v>0</v>
      </c>
      <c r="H173" s="1730">
        <f t="shared" si="7"/>
        <v>0</v>
      </c>
      <c r="I173" s="1730">
        <f t="shared" si="7"/>
        <v>0</v>
      </c>
      <c r="J173" s="1730">
        <f t="shared" si="7"/>
        <v>0</v>
      </c>
      <c r="K173" s="1717">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96" t="s">
        <v>1572</v>
      </c>
      <c r="B175" s="219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0" t="s">
        <v>1764</v>
      </c>
      <c r="B178" s="2201"/>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204" t="s">
        <v>1763</v>
      </c>
      <c r="B179" s="220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2" t="s">
        <v>818</v>
      </c>
      <c r="B184" s="2203"/>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98" t="s">
        <v>1902</v>
      </c>
      <c r="B185" s="2199"/>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163021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94289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15497</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569</v>
      </c>
      <c r="B201" s="1724"/>
      <c r="C201" s="1703">
        <f>SUM(C193:C200)</f>
        <v>272807</v>
      </c>
      <c r="D201" s="468"/>
      <c r="E201" s="468"/>
      <c r="F201" s="468"/>
      <c r="G201" s="1703">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0</v>
      </c>
      <c r="D211" s="1722">
        <f>SUM(D203:D210)</f>
        <v>0</v>
      </c>
      <c r="E211" s="468"/>
      <c r="F211" s="1722">
        <f>SUM(F203:F210)</f>
        <v>0</v>
      </c>
      <c r="G211" s="1722">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161738</v>
      </c>
      <c r="D215" s="466"/>
      <c r="E215" s="468"/>
      <c r="F215" s="466"/>
      <c r="G215" s="466"/>
      <c r="H215" s="468"/>
      <c r="I215" s="468"/>
      <c r="J215" s="468"/>
      <c r="K215" s="468"/>
    </row>
    <row r="216" spans="1:11" ht="12.75" customHeight="1" thickBot="1" x14ac:dyDescent="0.25">
      <c r="A216" s="1723" t="s">
        <v>944</v>
      </c>
      <c r="B216" s="1724"/>
      <c r="C216" s="1722">
        <f>SUM(C213:C215)</f>
        <v>161738</v>
      </c>
      <c r="D216" s="1722">
        <f>SUM(D213:D215)</f>
        <v>0</v>
      </c>
      <c r="E216" s="468" t="s">
        <v>1231</v>
      </c>
      <c r="F216" s="1722">
        <f>SUM(F213:F215)</f>
        <v>0</v>
      </c>
      <c r="G216" s="1722">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99969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2694054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2794023</v>
      </c>
      <c r="D224" s="1722">
        <f>SUM(D218:D223)</f>
        <v>0</v>
      </c>
      <c r="E224" s="468"/>
      <c r="F224" s="1722">
        <f>SUM(F218:F223)</f>
        <v>0</v>
      </c>
      <c r="G224" s="1722">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172165</v>
      </c>
      <c r="D270" s="576"/>
      <c r="E270" s="468"/>
      <c r="F270" s="576"/>
      <c r="G270" s="576"/>
      <c r="H270" s="468"/>
      <c r="I270" s="468"/>
      <c r="J270" s="468"/>
      <c r="K270" s="468"/>
    </row>
    <row r="271" spans="1:11" ht="12.75" customHeight="1" thickTop="1" thickBot="1" x14ac:dyDescent="0.25">
      <c r="A271" s="463" t="s">
        <v>395</v>
      </c>
      <c r="B271" s="470">
        <v>4992</v>
      </c>
      <c r="C271" s="575">
        <v>1837357</v>
      </c>
      <c r="D271" s="576"/>
      <c r="E271" s="468"/>
      <c r="F271" s="576"/>
      <c r="G271" s="576"/>
      <c r="H271" s="468"/>
      <c r="I271" s="468"/>
      <c r="J271" s="468"/>
      <c r="K271" s="468"/>
    </row>
    <row r="272" spans="1:11" s="594" customFormat="1" ht="12.75" customHeight="1" thickTop="1" thickBot="1" x14ac:dyDescent="0.25">
      <c r="A272" s="563" t="s">
        <v>77</v>
      </c>
      <c r="B272" s="557">
        <v>4999</v>
      </c>
      <c r="C272" s="575">
        <v>5809</v>
      </c>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5243899</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5243899</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13207310</v>
      </c>
      <c r="D275" s="1730">
        <f t="shared" si="12"/>
        <v>0</v>
      </c>
      <c r="E275" s="1730">
        <f t="shared" si="12"/>
        <v>0</v>
      </c>
      <c r="F275" s="1730">
        <f t="shared" si="12"/>
        <v>0</v>
      </c>
      <c r="G275" s="1730">
        <f t="shared" si="12"/>
        <v>0</v>
      </c>
      <c r="H275" s="1730">
        <f t="shared" si="12"/>
        <v>0</v>
      </c>
      <c r="I275" s="1730">
        <f t="shared" si="12"/>
        <v>0</v>
      </c>
      <c r="J275" s="1730">
        <f t="shared" si="12"/>
        <v>0</v>
      </c>
      <c r="K275" s="1717">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0" activePane="bottomLeft" state="frozen"/>
      <selection activeCell="H37" sqref="H37"/>
      <selection pane="bottomLeft" activeCell="H37" sqref="H3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2" t="s">
        <v>315</v>
      </c>
      <c r="B3" s="2213"/>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c r="D5" s="466"/>
      <c r="E5" s="466"/>
      <c r="F5" s="466"/>
      <c r="G5" s="466"/>
      <c r="H5" s="466"/>
      <c r="I5" s="467"/>
      <c r="J5" s="467"/>
      <c r="K5" s="1686">
        <f>SUM(C5:J5)</f>
        <v>0</v>
      </c>
      <c r="L5" s="466">
        <v>0</v>
      </c>
    </row>
    <row r="6" spans="1:14" x14ac:dyDescent="0.2">
      <c r="A6" s="1525" t="s">
        <v>1508</v>
      </c>
      <c r="B6" s="615" t="s">
        <v>1506</v>
      </c>
      <c r="C6" s="477"/>
      <c r="D6" s="477"/>
      <c r="E6" s="466"/>
      <c r="F6" s="477"/>
      <c r="G6" s="477"/>
      <c r="H6" s="477"/>
      <c r="I6" s="477"/>
      <c r="J6" s="477"/>
      <c r="K6" s="1686">
        <f>SUM(C6,E6)</f>
        <v>0</v>
      </c>
      <c r="L6" s="466">
        <v>0</v>
      </c>
    </row>
    <row r="7" spans="1:14" x14ac:dyDescent="0.2">
      <c r="A7" s="1525" t="s">
        <v>165</v>
      </c>
      <c r="B7" s="615" t="s">
        <v>1024</v>
      </c>
      <c r="C7" s="467"/>
      <c r="D7" s="467"/>
      <c r="E7" s="467"/>
      <c r="F7" s="467"/>
      <c r="G7" s="467"/>
      <c r="H7" s="467"/>
      <c r="I7" s="467"/>
      <c r="J7" s="467"/>
      <c r="K7" s="1686">
        <f t="shared" ref="K7:K32" si="0">SUM(C7:J7)</f>
        <v>0</v>
      </c>
      <c r="L7" s="466">
        <v>0</v>
      </c>
    </row>
    <row r="8" spans="1:14" x14ac:dyDescent="0.2">
      <c r="A8" s="1525" t="s">
        <v>166</v>
      </c>
      <c r="B8" s="615">
        <v>1200</v>
      </c>
      <c r="C8" s="466">
        <v>3391707</v>
      </c>
      <c r="D8" s="466">
        <v>1128722</v>
      </c>
      <c r="E8" s="466">
        <v>138850</v>
      </c>
      <c r="F8" s="466">
        <v>58079</v>
      </c>
      <c r="G8" s="466">
        <v>15437</v>
      </c>
      <c r="H8" s="466">
        <v>266701</v>
      </c>
      <c r="I8" s="467"/>
      <c r="J8" s="467"/>
      <c r="K8" s="1686">
        <f t="shared" si="0"/>
        <v>4999496</v>
      </c>
      <c r="L8" s="466">
        <v>5058992</v>
      </c>
    </row>
    <row r="9" spans="1:14" x14ac:dyDescent="0.2">
      <c r="A9" s="1525" t="s">
        <v>745</v>
      </c>
      <c r="B9" s="615" t="s">
        <v>1025</v>
      </c>
      <c r="C9" s="467">
        <v>565873</v>
      </c>
      <c r="D9" s="467">
        <v>178603</v>
      </c>
      <c r="E9" s="467">
        <v>1162</v>
      </c>
      <c r="F9" s="467">
        <v>6445</v>
      </c>
      <c r="G9" s="467"/>
      <c r="H9" s="467"/>
      <c r="I9" s="467"/>
      <c r="J9" s="467"/>
      <c r="K9" s="1686">
        <f t="shared" si="0"/>
        <v>752083</v>
      </c>
      <c r="L9" s="466">
        <v>812221</v>
      </c>
    </row>
    <row r="10" spans="1:14" x14ac:dyDescent="0.2">
      <c r="A10" s="1525" t="s">
        <v>746</v>
      </c>
      <c r="B10" s="615">
        <v>1250</v>
      </c>
      <c r="C10" s="466"/>
      <c r="D10" s="466"/>
      <c r="E10" s="466"/>
      <c r="F10" s="466"/>
      <c r="G10" s="466"/>
      <c r="H10" s="466"/>
      <c r="I10" s="467"/>
      <c r="J10" s="467"/>
      <c r="K10" s="1686">
        <f t="shared" si="0"/>
        <v>0</v>
      </c>
      <c r="L10" s="466">
        <v>0</v>
      </c>
    </row>
    <row r="11" spans="1:14" x14ac:dyDescent="0.2">
      <c r="A11" s="1525" t="s">
        <v>1192</v>
      </c>
      <c r="B11" s="615" t="s">
        <v>163</v>
      </c>
      <c r="C11" s="467"/>
      <c r="D11" s="467"/>
      <c r="E11" s="467"/>
      <c r="F11" s="467"/>
      <c r="G11" s="467"/>
      <c r="H11" s="467"/>
      <c r="I11" s="467"/>
      <c r="J11" s="467"/>
      <c r="K11" s="1686">
        <f t="shared" si="0"/>
        <v>0</v>
      </c>
      <c r="L11" s="466">
        <v>0</v>
      </c>
    </row>
    <row r="12" spans="1:14" x14ac:dyDescent="0.2">
      <c r="A12" s="1525" t="s">
        <v>1019</v>
      </c>
      <c r="B12" s="615">
        <v>1300</v>
      </c>
      <c r="C12" s="466"/>
      <c r="D12" s="466"/>
      <c r="E12" s="466"/>
      <c r="F12" s="466"/>
      <c r="G12" s="466"/>
      <c r="H12" s="466"/>
      <c r="I12" s="467"/>
      <c r="J12" s="467"/>
      <c r="K12" s="1686">
        <f t="shared" si="0"/>
        <v>0</v>
      </c>
      <c r="L12" s="466">
        <v>0</v>
      </c>
    </row>
    <row r="13" spans="1:14" x14ac:dyDescent="0.2">
      <c r="A13" s="1525" t="s">
        <v>747</v>
      </c>
      <c r="B13" s="615">
        <v>1400</v>
      </c>
      <c r="C13" s="466"/>
      <c r="D13" s="466"/>
      <c r="E13" s="466"/>
      <c r="F13" s="466"/>
      <c r="G13" s="466"/>
      <c r="H13" s="466"/>
      <c r="I13" s="467"/>
      <c r="J13" s="467"/>
      <c r="K13" s="1686">
        <f t="shared" si="0"/>
        <v>0</v>
      </c>
      <c r="L13" s="466">
        <v>0</v>
      </c>
    </row>
    <row r="14" spans="1:14" x14ac:dyDescent="0.2">
      <c r="A14" s="1525" t="s">
        <v>1020</v>
      </c>
      <c r="B14" s="615">
        <v>1500</v>
      </c>
      <c r="C14" s="466"/>
      <c r="D14" s="466"/>
      <c r="E14" s="466"/>
      <c r="F14" s="466"/>
      <c r="G14" s="466"/>
      <c r="H14" s="466"/>
      <c r="I14" s="467"/>
      <c r="J14" s="467"/>
      <c r="K14" s="1686">
        <f t="shared" si="0"/>
        <v>0</v>
      </c>
      <c r="L14" s="466">
        <v>0</v>
      </c>
    </row>
    <row r="15" spans="1:14" x14ac:dyDescent="0.2">
      <c r="A15" s="1525" t="s">
        <v>1021</v>
      </c>
      <c r="B15" s="615">
        <v>1600</v>
      </c>
      <c r="C15" s="466">
        <v>18915</v>
      </c>
      <c r="D15" s="466">
        <v>4994</v>
      </c>
      <c r="E15" s="466"/>
      <c r="F15" s="466"/>
      <c r="G15" s="466"/>
      <c r="H15" s="466"/>
      <c r="I15" s="467"/>
      <c r="J15" s="467"/>
      <c r="K15" s="1686">
        <f t="shared" si="0"/>
        <v>23909</v>
      </c>
      <c r="L15" s="466">
        <v>22671</v>
      </c>
    </row>
    <row r="16" spans="1:14" x14ac:dyDescent="0.2">
      <c r="A16" s="1525" t="s">
        <v>1044</v>
      </c>
      <c r="B16" s="615" t="s">
        <v>444</v>
      </c>
      <c r="C16" s="466"/>
      <c r="D16" s="466"/>
      <c r="E16" s="466"/>
      <c r="F16" s="466"/>
      <c r="G16" s="466"/>
      <c r="H16" s="466"/>
      <c r="I16" s="467"/>
      <c r="J16" s="467"/>
      <c r="K16" s="1686">
        <f t="shared" si="0"/>
        <v>0</v>
      </c>
      <c r="L16" s="466">
        <v>0</v>
      </c>
    </row>
    <row r="17" spans="1:12" x14ac:dyDescent="0.2">
      <c r="A17" s="1525" t="s">
        <v>748</v>
      </c>
      <c r="B17" s="615" t="s">
        <v>164</v>
      </c>
      <c r="C17" s="467"/>
      <c r="D17" s="467"/>
      <c r="E17" s="467"/>
      <c r="F17" s="467"/>
      <c r="G17" s="467"/>
      <c r="H17" s="467"/>
      <c r="I17" s="467"/>
      <c r="J17" s="467"/>
      <c r="K17" s="1686">
        <f t="shared" si="0"/>
        <v>0</v>
      </c>
      <c r="L17" s="466">
        <v>0</v>
      </c>
    </row>
    <row r="18" spans="1:12" x14ac:dyDescent="0.2">
      <c r="A18" s="1525" t="s">
        <v>1148</v>
      </c>
      <c r="B18" s="615">
        <v>1800</v>
      </c>
      <c r="C18" s="466"/>
      <c r="D18" s="466"/>
      <c r="E18" s="466"/>
      <c r="F18" s="466"/>
      <c r="G18" s="466"/>
      <c r="H18" s="466"/>
      <c r="I18" s="467"/>
      <c r="J18" s="467"/>
      <c r="K18" s="1686">
        <f t="shared" si="0"/>
        <v>0</v>
      </c>
      <c r="L18" s="466">
        <v>0</v>
      </c>
    </row>
    <row r="19" spans="1:12" x14ac:dyDescent="0.2">
      <c r="A19" s="1525" t="s">
        <v>136</v>
      </c>
      <c r="B19" s="615">
        <v>1900</v>
      </c>
      <c r="C19" s="466"/>
      <c r="D19" s="466"/>
      <c r="E19" s="466"/>
      <c r="F19" s="466"/>
      <c r="G19" s="466"/>
      <c r="H19" s="466"/>
      <c r="I19" s="467"/>
      <c r="J19" s="467"/>
      <c r="K19" s="1686">
        <f t="shared" si="0"/>
        <v>0</v>
      </c>
      <c r="L19" s="466">
        <v>0</v>
      </c>
    </row>
    <row r="20" spans="1:12" x14ac:dyDescent="0.2">
      <c r="A20" s="1526" t="s">
        <v>762</v>
      </c>
      <c r="B20" s="603" t="s">
        <v>749</v>
      </c>
      <c r="C20" s="477"/>
      <c r="D20" s="477"/>
      <c r="E20" s="477"/>
      <c r="F20" s="477"/>
      <c r="G20" s="477"/>
      <c r="H20" s="474"/>
      <c r="I20" s="617"/>
      <c r="J20" s="475"/>
      <c r="K20" s="1686">
        <f t="shared" si="0"/>
        <v>0</v>
      </c>
      <c r="L20" s="471">
        <v>0</v>
      </c>
    </row>
    <row r="21" spans="1:12" x14ac:dyDescent="0.2">
      <c r="A21" s="1526" t="s">
        <v>763</v>
      </c>
      <c r="B21" s="603" t="s">
        <v>750</v>
      </c>
      <c r="C21" s="477"/>
      <c r="D21" s="477"/>
      <c r="E21" s="477"/>
      <c r="F21" s="477"/>
      <c r="G21" s="477"/>
      <c r="H21" s="474"/>
      <c r="I21" s="617"/>
      <c r="J21" s="477"/>
      <c r="K21" s="1686">
        <f t="shared" si="0"/>
        <v>0</v>
      </c>
      <c r="L21" s="471">
        <v>0</v>
      </c>
    </row>
    <row r="22" spans="1:12" x14ac:dyDescent="0.2">
      <c r="A22" s="1526" t="s">
        <v>764</v>
      </c>
      <c r="B22" s="603" t="s">
        <v>751</v>
      </c>
      <c r="C22" s="477"/>
      <c r="D22" s="477"/>
      <c r="E22" s="477"/>
      <c r="F22" s="477"/>
      <c r="G22" s="477"/>
      <c r="H22" s="474"/>
      <c r="I22" s="617"/>
      <c r="J22" s="477"/>
      <c r="K22" s="1686">
        <f t="shared" si="0"/>
        <v>0</v>
      </c>
      <c r="L22" s="471">
        <v>0</v>
      </c>
    </row>
    <row r="23" spans="1:12" x14ac:dyDescent="0.2">
      <c r="A23" s="1526" t="s">
        <v>765</v>
      </c>
      <c r="B23" s="603" t="s">
        <v>752</v>
      </c>
      <c r="C23" s="477"/>
      <c r="D23" s="477"/>
      <c r="E23" s="477"/>
      <c r="F23" s="477"/>
      <c r="G23" s="477"/>
      <c r="H23" s="474"/>
      <c r="I23" s="617"/>
      <c r="J23" s="477"/>
      <c r="K23" s="1686">
        <f t="shared" si="0"/>
        <v>0</v>
      </c>
      <c r="L23" s="471">
        <v>0</v>
      </c>
    </row>
    <row r="24" spans="1:12" ht="12.75" customHeight="1" x14ac:dyDescent="0.2">
      <c r="A24" s="1526" t="s">
        <v>766</v>
      </c>
      <c r="B24" s="603" t="s">
        <v>753</v>
      </c>
      <c r="C24" s="477"/>
      <c r="D24" s="477"/>
      <c r="E24" s="477"/>
      <c r="F24" s="477"/>
      <c r="G24" s="477"/>
      <c r="H24" s="474"/>
      <c r="I24" s="617"/>
      <c r="J24" s="477"/>
      <c r="K24" s="1686">
        <f t="shared" si="0"/>
        <v>0</v>
      </c>
      <c r="L24" s="471">
        <v>0</v>
      </c>
    </row>
    <row r="25" spans="1:12" ht="12.75" customHeight="1" x14ac:dyDescent="0.2">
      <c r="A25" s="1526" t="s">
        <v>835</v>
      </c>
      <c r="B25" s="603" t="s">
        <v>754</v>
      </c>
      <c r="C25" s="477"/>
      <c r="D25" s="477"/>
      <c r="E25" s="477"/>
      <c r="F25" s="477"/>
      <c r="G25" s="477"/>
      <c r="H25" s="474"/>
      <c r="I25" s="617"/>
      <c r="J25" s="477"/>
      <c r="K25" s="1686">
        <f t="shared" si="0"/>
        <v>0</v>
      </c>
      <c r="L25" s="471">
        <v>0</v>
      </c>
    </row>
    <row r="26" spans="1:12" x14ac:dyDescent="0.2">
      <c r="A26" s="1526" t="s">
        <v>643</v>
      </c>
      <c r="B26" s="603" t="s">
        <v>755</v>
      </c>
      <c r="C26" s="477"/>
      <c r="D26" s="477"/>
      <c r="E26" s="477"/>
      <c r="F26" s="477"/>
      <c r="G26" s="477"/>
      <c r="H26" s="474"/>
      <c r="I26" s="617"/>
      <c r="J26" s="477"/>
      <c r="K26" s="1686">
        <f t="shared" si="0"/>
        <v>0</v>
      </c>
      <c r="L26" s="471">
        <v>0</v>
      </c>
    </row>
    <row r="27" spans="1:12" x14ac:dyDescent="0.2">
      <c r="A27" s="1526" t="s">
        <v>644</v>
      </c>
      <c r="B27" s="603" t="s">
        <v>756</v>
      </c>
      <c r="C27" s="477"/>
      <c r="D27" s="477"/>
      <c r="E27" s="477"/>
      <c r="F27" s="477"/>
      <c r="G27" s="477"/>
      <c r="H27" s="474"/>
      <c r="I27" s="617"/>
      <c r="J27" s="477"/>
      <c r="K27" s="1686">
        <f t="shared" si="0"/>
        <v>0</v>
      </c>
      <c r="L27" s="471">
        <v>0</v>
      </c>
    </row>
    <row r="28" spans="1:12" x14ac:dyDescent="0.2">
      <c r="A28" s="1526" t="s">
        <v>152</v>
      </c>
      <c r="B28" s="603" t="s">
        <v>757</v>
      </c>
      <c r="C28" s="477"/>
      <c r="D28" s="477"/>
      <c r="E28" s="477"/>
      <c r="F28" s="477"/>
      <c r="G28" s="477"/>
      <c r="H28" s="474"/>
      <c r="I28" s="617"/>
      <c r="J28" s="477"/>
      <c r="K28" s="1686">
        <f t="shared" si="0"/>
        <v>0</v>
      </c>
      <c r="L28" s="471">
        <v>0</v>
      </c>
    </row>
    <row r="29" spans="1:12" x14ac:dyDescent="0.2">
      <c r="A29" s="1526" t="s">
        <v>153</v>
      </c>
      <c r="B29" s="603" t="s">
        <v>758</v>
      </c>
      <c r="C29" s="477"/>
      <c r="D29" s="477"/>
      <c r="E29" s="477"/>
      <c r="F29" s="477"/>
      <c r="G29" s="477"/>
      <c r="H29" s="474"/>
      <c r="I29" s="617"/>
      <c r="J29" s="477"/>
      <c r="K29" s="1686">
        <f t="shared" si="0"/>
        <v>0</v>
      </c>
      <c r="L29" s="471">
        <v>0</v>
      </c>
    </row>
    <row r="30" spans="1:12" x14ac:dyDescent="0.2">
      <c r="A30" s="1526" t="s">
        <v>154</v>
      </c>
      <c r="B30" s="603" t="s">
        <v>759</v>
      </c>
      <c r="C30" s="477"/>
      <c r="D30" s="477"/>
      <c r="E30" s="477"/>
      <c r="F30" s="477"/>
      <c r="G30" s="477"/>
      <c r="H30" s="474"/>
      <c r="I30" s="617"/>
      <c r="J30" s="477"/>
      <c r="K30" s="1686">
        <f t="shared" si="0"/>
        <v>0</v>
      </c>
      <c r="L30" s="471">
        <v>0</v>
      </c>
    </row>
    <row r="31" spans="1:12" x14ac:dyDescent="0.2">
      <c r="A31" s="1526" t="s">
        <v>155</v>
      </c>
      <c r="B31" s="603" t="s">
        <v>760</v>
      </c>
      <c r="C31" s="477"/>
      <c r="D31" s="477"/>
      <c r="E31" s="477"/>
      <c r="F31" s="477"/>
      <c r="G31" s="477"/>
      <c r="H31" s="474"/>
      <c r="I31" s="617"/>
      <c r="J31" s="477"/>
      <c r="K31" s="1686">
        <f t="shared" si="0"/>
        <v>0</v>
      </c>
      <c r="L31" s="471">
        <v>0</v>
      </c>
    </row>
    <row r="32" spans="1:12" x14ac:dyDescent="0.2">
      <c r="A32" s="1527" t="s">
        <v>1191</v>
      </c>
      <c r="B32" s="615" t="s">
        <v>761</v>
      </c>
      <c r="C32" s="477"/>
      <c r="D32" s="477"/>
      <c r="E32" s="477"/>
      <c r="F32" s="477"/>
      <c r="G32" s="477"/>
      <c r="H32" s="474"/>
      <c r="I32" s="617"/>
      <c r="J32" s="480"/>
      <c r="K32" s="1686">
        <f t="shared" si="0"/>
        <v>0</v>
      </c>
      <c r="L32" s="471">
        <v>0</v>
      </c>
    </row>
    <row r="33" spans="1:14" ht="12.75" customHeight="1" thickBot="1" x14ac:dyDescent="0.25">
      <c r="A33" s="1683" t="s">
        <v>1767</v>
      </c>
      <c r="B33" s="1684" t="s">
        <v>591</v>
      </c>
      <c r="C33" s="1685">
        <f>SUM(C5:C32)</f>
        <v>3976495</v>
      </c>
      <c r="D33" s="1685">
        <f t="shared" ref="D33:L33" si="1">SUM(D5:D32)</f>
        <v>1312319</v>
      </c>
      <c r="E33" s="1685">
        <f t="shared" si="1"/>
        <v>140012</v>
      </c>
      <c r="F33" s="1685">
        <f t="shared" si="1"/>
        <v>64524</v>
      </c>
      <c r="G33" s="1685">
        <f t="shared" si="1"/>
        <v>15437</v>
      </c>
      <c r="H33" s="1685">
        <f t="shared" si="1"/>
        <v>266701</v>
      </c>
      <c r="I33" s="1685">
        <f t="shared" si="1"/>
        <v>0</v>
      </c>
      <c r="J33" s="1685">
        <f t="shared" si="1"/>
        <v>0</v>
      </c>
      <c r="K33" s="1685">
        <f t="shared" si="1"/>
        <v>5775488</v>
      </c>
      <c r="L33" s="1685">
        <f t="shared" si="1"/>
        <v>5893884</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488387</v>
      </c>
      <c r="D36" s="481">
        <v>134985</v>
      </c>
      <c r="E36" s="481">
        <v>10990</v>
      </c>
      <c r="F36" s="481">
        <v>2531</v>
      </c>
      <c r="G36" s="481">
        <v>12885</v>
      </c>
      <c r="H36" s="481"/>
      <c r="I36" s="467"/>
      <c r="J36" s="467"/>
      <c r="K36" s="1686">
        <f t="shared" ref="K36:K41" si="2">SUM(C36:J36)</f>
        <v>649778</v>
      </c>
      <c r="L36" s="466">
        <v>631342</v>
      </c>
    </row>
    <row r="37" spans="1:14" x14ac:dyDescent="0.2">
      <c r="A37" s="1525" t="s">
        <v>1151</v>
      </c>
      <c r="B37" s="615">
        <v>2120</v>
      </c>
      <c r="C37" s="466"/>
      <c r="D37" s="466"/>
      <c r="E37" s="466"/>
      <c r="F37" s="466"/>
      <c r="G37" s="466"/>
      <c r="H37" s="466"/>
      <c r="I37" s="467"/>
      <c r="J37" s="467"/>
      <c r="K37" s="1686">
        <f t="shared" si="2"/>
        <v>0</v>
      </c>
      <c r="L37" s="466">
        <v>0</v>
      </c>
    </row>
    <row r="38" spans="1:14" x14ac:dyDescent="0.2">
      <c r="A38" s="1525" t="s">
        <v>207</v>
      </c>
      <c r="B38" s="615">
        <v>2130</v>
      </c>
      <c r="C38" s="466">
        <v>389742</v>
      </c>
      <c r="D38" s="466">
        <v>120275</v>
      </c>
      <c r="E38" s="466">
        <v>25686</v>
      </c>
      <c r="F38" s="466">
        <v>8161</v>
      </c>
      <c r="G38" s="466"/>
      <c r="H38" s="466"/>
      <c r="I38" s="467"/>
      <c r="J38" s="467"/>
      <c r="K38" s="1686">
        <f t="shared" si="2"/>
        <v>543864</v>
      </c>
      <c r="L38" s="466">
        <v>543452</v>
      </c>
    </row>
    <row r="39" spans="1:14" x14ac:dyDescent="0.2">
      <c r="A39" s="1525" t="s">
        <v>208</v>
      </c>
      <c r="B39" s="615">
        <v>2140</v>
      </c>
      <c r="C39" s="466">
        <v>372451</v>
      </c>
      <c r="D39" s="466">
        <v>92802</v>
      </c>
      <c r="E39" s="466">
        <v>14178</v>
      </c>
      <c r="F39" s="466">
        <v>1930</v>
      </c>
      <c r="G39" s="466"/>
      <c r="H39" s="466"/>
      <c r="I39" s="467"/>
      <c r="J39" s="467"/>
      <c r="K39" s="1686">
        <f t="shared" si="2"/>
        <v>481361</v>
      </c>
      <c r="L39" s="466">
        <v>479252</v>
      </c>
    </row>
    <row r="40" spans="1:14" x14ac:dyDescent="0.2">
      <c r="A40" s="1525" t="s">
        <v>209</v>
      </c>
      <c r="B40" s="615">
        <v>2150</v>
      </c>
      <c r="C40" s="466">
        <v>342697</v>
      </c>
      <c r="D40" s="466">
        <v>99135</v>
      </c>
      <c r="E40" s="466">
        <v>8425</v>
      </c>
      <c r="F40" s="466">
        <v>4433</v>
      </c>
      <c r="G40" s="466"/>
      <c r="H40" s="466"/>
      <c r="I40" s="467"/>
      <c r="J40" s="467"/>
      <c r="K40" s="1686">
        <f t="shared" si="2"/>
        <v>454690</v>
      </c>
      <c r="L40" s="466">
        <v>475588</v>
      </c>
    </row>
    <row r="41" spans="1:14" x14ac:dyDescent="0.2">
      <c r="A41" s="1525" t="s">
        <v>1768</v>
      </c>
      <c r="B41" s="615">
        <v>2190</v>
      </c>
      <c r="C41" s="466"/>
      <c r="D41" s="466"/>
      <c r="E41" s="466"/>
      <c r="F41" s="466"/>
      <c r="G41" s="466"/>
      <c r="H41" s="466"/>
      <c r="I41" s="467"/>
      <c r="J41" s="467"/>
      <c r="K41" s="1686">
        <f t="shared" si="2"/>
        <v>0</v>
      </c>
      <c r="L41" s="466">
        <v>0</v>
      </c>
    </row>
    <row r="42" spans="1:14" ht="12.75" customHeight="1" thickBot="1" x14ac:dyDescent="0.25">
      <c r="A42" s="1683" t="s">
        <v>581</v>
      </c>
      <c r="B42" s="1684" t="s">
        <v>740</v>
      </c>
      <c r="C42" s="1685">
        <f>SUM(C36:C41)</f>
        <v>1593277</v>
      </c>
      <c r="D42" s="1685">
        <f t="shared" ref="D42:L42" si="3">SUM(D36:D41)</f>
        <v>447197</v>
      </c>
      <c r="E42" s="1685">
        <f t="shared" si="3"/>
        <v>59279</v>
      </c>
      <c r="F42" s="1685">
        <f t="shared" si="3"/>
        <v>17055</v>
      </c>
      <c r="G42" s="1685">
        <f t="shared" si="3"/>
        <v>12885</v>
      </c>
      <c r="H42" s="1685">
        <f t="shared" si="3"/>
        <v>0</v>
      </c>
      <c r="I42" s="1685">
        <f t="shared" si="3"/>
        <v>0</v>
      </c>
      <c r="J42" s="1685">
        <f t="shared" si="3"/>
        <v>0</v>
      </c>
      <c r="K42" s="1685">
        <f t="shared" si="3"/>
        <v>2129693</v>
      </c>
      <c r="L42" s="1685">
        <f t="shared" si="3"/>
        <v>2129634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99859</v>
      </c>
      <c r="F44" s="481">
        <v>15054</v>
      </c>
      <c r="G44" s="481">
        <v>3612</v>
      </c>
      <c r="H44" s="481">
        <v>5499</v>
      </c>
      <c r="I44" s="467"/>
      <c r="J44" s="467"/>
      <c r="K44" s="1687">
        <f>SUM(C44:J44)</f>
        <v>124024</v>
      </c>
      <c r="L44" s="481">
        <v>161858</v>
      </c>
    </row>
    <row r="45" spans="1:14" x14ac:dyDescent="0.2">
      <c r="A45" s="1525" t="s">
        <v>869</v>
      </c>
      <c r="B45" s="615">
        <v>2220</v>
      </c>
      <c r="C45" s="466"/>
      <c r="D45" s="466"/>
      <c r="E45" s="466"/>
      <c r="F45" s="466"/>
      <c r="G45" s="466"/>
      <c r="H45" s="466"/>
      <c r="I45" s="467"/>
      <c r="J45" s="467"/>
      <c r="K45" s="1687">
        <f>SUM(C45:J45)</f>
        <v>0</v>
      </c>
      <c r="L45" s="466">
        <v>0</v>
      </c>
    </row>
    <row r="46" spans="1:14" x14ac:dyDescent="0.2">
      <c r="A46" s="1525" t="s">
        <v>870</v>
      </c>
      <c r="B46" s="615">
        <v>2230</v>
      </c>
      <c r="C46" s="466"/>
      <c r="D46" s="466"/>
      <c r="E46" s="466"/>
      <c r="F46" s="466">
        <v>15353</v>
      </c>
      <c r="G46" s="466"/>
      <c r="H46" s="466"/>
      <c r="I46" s="467"/>
      <c r="J46" s="467"/>
      <c r="K46" s="1687">
        <f>SUM(C46:J46)</f>
        <v>15353</v>
      </c>
      <c r="L46" s="466">
        <v>15000</v>
      </c>
    </row>
    <row r="47" spans="1:14" ht="12.75" customHeight="1" thickBot="1" x14ac:dyDescent="0.25">
      <c r="A47" s="1683" t="s">
        <v>582</v>
      </c>
      <c r="B47" s="1684" t="s">
        <v>32</v>
      </c>
      <c r="C47" s="1685">
        <f>SUM(C44:C46)</f>
        <v>0</v>
      </c>
      <c r="D47" s="1685">
        <f t="shared" ref="D47:K47" si="4">SUM(D44:D46)</f>
        <v>0</v>
      </c>
      <c r="E47" s="1685">
        <f t="shared" si="4"/>
        <v>99859</v>
      </c>
      <c r="F47" s="1685">
        <f t="shared" si="4"/>
        <v>30407</v>
      </c>
      <c r="G47" s="1685">
        <f t="shared" si="4"/>
        <v>3612</v>
      </c>
      <c r="H47" s="1685">
        <f t="shared" si="4"/>
        <v>5499</v>
      </c>
      <c r="I47" s="1685">
        <f t="shared" si="4"/>
        <v>0</v>
      </c>
      <c r="J47" s="1685">
        <f t="shared" si="4"/>
        <v>0</v>
      </c>
      <c r="K47" s="1685">
        <f t="shared" si="4"/>
        <v>139377</v>
      </c>
      <c r="L47" s="1685">
        <f>SUM(L44:L46)</f>
        <v>176858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c r="F49" s="481"/>
      <c r="G49" s="481"/>
      <c r="H49" s="481"/>
      <c r="I49" s="467"/>
      <c r="J49" s="467"/>
      <c r="K49" s="1687">
        <f>SUM(C49:J49)</f>
        <v>0</v>
      </c>
      <c r="L49" s="481">
        <v>0</v>
      </c>
    </row>
    <row r="50" spans="1:14" x14ac:dyDescent="0.2">
      <c r="A50" s="1525" t="s">
        <v>872</v>
      </c>
      <c r="B50" s="615">
        <v>2320</v>
      </c>
      <c r="C50" s="466">
        <v>1248137</v>
      </c>
      <c r="D50" s="466">
        <v>339397</v>
      </c>
      <c r="E50" s="466">
        <v>278188</v>
      </c>
      <c r="F50" s="466">
        <v>46385</v>
      </c>
      <c r="G50" s="466">
        <v>13232</v>
      </c>
      <c r="H50" s="466"/>
      <c r="I50" s="467"/>
      <c r="J50" s="467"/>
      <c r="K50" s="1687">
        <f>SUM(C50:J50)</f>
        <v>1925339</v>
      </c>
      <c r="L50" s="466">
        <v>1893242</v>
      </c>
    </row>
    <row r="51" spans="1:14" x14ac:dyDescent="0.2">
      <c r="A51" s="1525" t="s">
        <v>44</v>
      </c>
      <c r="B51" s="615">
        <v>2330</v>
      </c>
      <c r="C51" s="466"/>
      <c r="D51" s="466"/>
      <c r="E51" s="466"/>
      <c r="F51" s="466"/>
      <c r="G51" s="466"/>
      <c r="H51" s="466"/>
      <c r="I51" s="467"/>
      <c r="J51" s="467"/>
      <c r="K51" s="1687">
        <f>SUM(C51:J51)</f>
        <v>0</v>
      </c>
      <c r="L51" s="466">
        <v>0</v>
      </c>
    </row>
    <row r="52" spans="1:14" ht="22.5" x14ac:dyDescent="0.2">
      <c r="A52" s="1526" t="s">
        <v>316</v>
      </c>
      <c r="B52" s="628" t="s">
        <v>384</v>
      </c>
      <c r="C52" s="474"/>
      <c r="D52" s="474"/>
      <c r="E52" s="474"/>
      <c r="F52" s="474"/>
      <c r="G52" s="474"/>
      <c r="H52" s="474"/>
      <c r="I52" s="474"/>
      <c r="J52" s="474"/>
      <c r="K52" s="1687">
        <f>SUM(C52:J52)</f>
        <v>0</v>
      </c>
      <c r="L52" s="474">
        <v>0</v>
      </c>
    </row>
    <row r="53" spans="1:14" ht="12.75" customHeight="1" thickBot="1" x14ac:dyDescent="0.25">
      <c r="A53" s="1683" t="s">
        <v>741</v>
      </c>
      <c r="B53" s="1684" t="s">
        <v>33</v>
      </c>
      <c r="C53" s="1685">
        <f>SUM(C49:C52)</f>
        <v>1248137</v>
      </c>
      <c r="D53" s="1685">
        <f t="shared" ref="D53:L53" si="5">SUM(D49:D52)</f>
        <v>339397</v>
      </c>
      <c r="E53" s="1685">
        <f t="shared" si="5"/>
        <v>278188</v>
      </c>
      <c r="F53" s="1685">
        <f t="shared" si="5"/>
        <v>46385</v>
      </c>
      <c r="G53" s="1685">
        <f t="shared" si="5"/>
        <v>13232</v>
      </c>
      <c r="H53" s="1685">
        <f t="shared" si="5"/>
        <v>0</v>
      </c>
      <c r="I53" s="1685">
        <f t="shared" si="5"/>
        <v>0</v>
      </c>
      <c r="J53" s="1685">
        <f t="shared" si="5"/>
        <v>0</v>
      </c>
      <c r="K53" s="1685">
        <f t="shared" si="5"/>
        <v>1925339</v>
      </c>
      <c r="L53" s="1685">
        <f t="shared" si="5"/>
        <v>1893242</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c r="D55" s="481"/>
      <c r="E55" s="481"/>
      <c r="F55" s="481"/>
      <c r="G55" s="481"/>
      <c r="H55" s="481"/>
      <c r="I55" s="467"/>
      <c r="J55" s="467"/>
      <c r="K55" s="1687">
        <f>SUM(C55:J55)</f>
        <v>0</v>
      </c>
      <c r="L55" s="481">
        <v>0</v>
      </c>
    </row>
    <row r="56" spans="1:14" ht="12.75" customHeight="1" x14ac:dyDescent="0.2">
      <c r="A56" s="1529" t="s">
        <v>394</v>
      </c>
      <c r="B56" s="629">
        <v>2490</v>
      </c>
      <c r="C56" s="466"/>
      <c r="D56" s="466"/>
      <c r="E56" s="466"/>
      <c r="F56" s="466"/>
      <c r="G56" s="466"/>
      <c r="H56" s="466"/>
      <c r="I56" s="467"/>
      <c r="J56" s="467"/>
      <c r="K56" s="1687">
        <f>SUM(C56:J56)</f>
        <v>0</v>
      </c>
      <c r="L56" s="466">
        <v>0</v>
      </c>
    </row>
    <row r="57" spans="1:14" s="343" customFormat="1" ht="12.75" customHeight="1" thickBot="1" x14ac:dyDescent="0.25">
      <c r="A57" s="1683" t="s">
        <v>281</v>
      </c>
      <c r="B57" s="1688" t="s">
        <v>34</v>
      </c>
      <c r="C57" s="1689">
        <f>SUM(C55:C56)</f>
        <v>0</v>
      </c>
      <c r="D57" s="1689">
        <f t="shared" ref="D57:K57" si="6">SUM(D55:D56)</f>
        <v>0</v>
      </c>
      <c r="E57" s="1689">
        <f t="shared" si="6"/>
        <v>0</v>
      </c>
      <c r="F57" s="1689">
        <f t="shared" si="6"/>
        <v>0</v>
      </c>
      <c r="G57" s="1689">
        <f t="shared" si="6"/>
        <v>0</v>
      </c>
      <c r="H57" s="1689">
        <f t="shared" si="6"/>
        <v>0</v>
      </c>
      <c r="I57" s="1689">
        <f t="shared" si="6"/>
        <v>0</v>
      </c>
      <c r="J57" s="1689">
        <f t="shared" si="6"/>
        <v>0</v>
      </c>
      <c r="K57" s="1689">
        <f t="shared" si="6"/>
        <v>0</v>
      </c>
      <c r="L57" s="1685">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69039</v>
      </c>
      <c r="D59" s="481">
        <v>17269</v>
      </c>
      <c r="E59" s="481"/>
      <c r="F59" s="481"/>
      <c r="G59" s="481"/>
      <c r="H59" s="481"/>
      <c r="I59" s="467"/>
      <c r="J59" s="467"/>
      <c r="K59" s="1687">
        <f t="shared" ref="K59:K64" si="7">SUM(C59:J59)</f>
        <v>86308</v>
      </c>
      <c r="L59" s="481">
        <v>86456</v>
      </c>
      <c r="M59" s="610"/>
      <c r="N59" s="610"/>
    </row>
    <row r="60" spans="1:14" s="343" customFormat="1" x14ac:dyDescent="0.2">
      <c r="A60" s="1525" t="s">
        <v>483</v>
      </c>
      <c r="B60" s="615">
        <v>2520</v>
      </c>
      <c r="C60" s="466">
        <v>101878</v>
      </c>
      <c r="D60" s="466">
        <v>25407</v>
      </c>
      <c r="E60" s="466">
        <v>509</v>
      </c>
      <c r="F60" s="466">
        <v>1344</v>
      </c>
      <c r="G60" s="466"/>
      <c r="H60" s="466"/>
      <c r="I60" s="467"/>
      <c r="J60" s="467"/>
      <c r="K60" s="1687">
        <f t="shared" si="7"/>
        <v>129138</v>
      </c>
      <c r="L60" s="466">
        <v>136499</v>
      </c>
      <c r="M60" s="610"/>
      <c r="N60" s="610"/>
    </row>
    <row r="61" spans="1:14" s="343" customFormat="1" x14ac:dyDescent="0.2">
      <c r="A61" s="1525" t="s">
        <v>206</v>
      </c>
      <c r="B61" s="615">
        <v>2540</v>
      </c>
      <c r="C61" s="466">
        <v>148163</v>
      </c>
      <c r="D61" s="466">
        <v>60416</v>
      </c>
      <c r="E61" s="466">
        <v>238802</v>
      </c>
      <c r="F61" s="466">
        <v>57700</v>
      </c>
      <c r="G61" s="466">
        <v>7455</v>
      </c>
      <c r="H61" s="466"/>
      <c r="I61" s="467"/>
      <c r="J61" s="467"/>
      <c r="K61" s="1687">
        <f t="shared" si="7"/>
        <v>512536</v>
      </c>
      <c r="L61" s="466">
        <v>646183</v>
      </c>
      <c r="M61" s="610"/>
      <c r="N61" s="610"/>
    </row>
    <row r="62" spans="1:14" s="343" customFormat="1" x14ac:dyDescent="0.2">
      <c r="A62" s="1525" t="s">
        <v>1010</v>
      </c>
      <c r="B62" s="615">
        <v>2550</v>
      </c>
      <c r="C62" s="466">
        <v>47952</v>
      </c>
      <c r="D62" s="466"/>
      <c r="E62" s="466"/>
      <c r="F62" s="466"/>
      <c r="G62" s="466"/>
      <c r="H62" s="466"/>
      <c r="I62" s="467"/>
      <c r="J62" s="467"/>
      <c r="K62" s="1687">
        <f t="shared" si="7"/>
        <v>47952</v>
      </c>
      <c r="L62" s="466">
        <v>35000</v>
      </c>
      <c r="M62" s="610"/>
      <c r="N62" s="610"/>
    </row>
    <row r="63" spans="1:14" s="610" customFormat="1" x14ac:dyDescent="0.2">
      <c r="A63" s="1525" t="s">
        <v>102</v>
      </c>
      <c r="B63" s="615">
        <v>2560</v>
      </c>
      <c r="C63" s="466">
        <v>43079</v>
      </c>
      <c r="D63" s="466">
        <v>8547</v>
      </c>
      <c r="E63" s="466">
        <v>274939</v>
      </c>
      <c r="F63" s="466">
        <v>56835</v>
      </c>
      <c r="G63" s="466">
        <v>3140</v>
      </c>
      <c r="H63" s="466"/>
      <c r="I63" s="467"/>
      <c r="J63" s="467"/>
      <c r="K63" s="1687">
        <f t="shared" si="7"/>
        <v>386540</v>
      </c>
      <c r="L63" s="466">
        <v>332441</v>
      </c>
    </row>
    <row r="64" spans="1:14" s="610" customFormat="1" x14ac:dyDescent="0.2">
      <c r="A64" s="1530" t="s">
        <v>103</v>
      </c>
      <c r="B64" s="631">
        <v>2570</v>
      </c>
      <c r="C64" s="481"/>
      <c r="D64" s="481"/>
      <c r="E64" s="481"/>
      <c r="F64" s="481"/>
      <c r="G64" s="481"/>
      <c r="H64" s="481"/>
      <c r="I64" s="467"/>
      <c r="J64" s="467"/>
      <c r="K64" s="1687">
        <f t="shared" si="7"/>
        <v>0</v>
      </c>
      <c r="L64" s="481">
        <v>0</v>
      </c>
    </row>
    <row r="65" spans="1:14" s="343" customFormat="1" ht="12.75" customHeight="1" thickBot="1" x14ac:dyDescent="0.25">
      <c r="A65" s="1683" t="s">
        <v>743</v>
      </c>
      <c r="B65" s="1684" t="s">
        <v>35</v>
      </c>
      <c r="C65" s="1685">
        <f>SUM(C59:C64)</f>
        <v>410111</v>
      </c>
      <c r="D65" s="1685">
        <f t="shared" ref="D65:L65" si="8">SUM(D59:D64)</f>
        <v>111639</v>
      </c>
      <c r="E65" s="1685">
        <f t="shared" si="8"/>
        <v>514250</v>
      </c>
      <c r="F65" s="1685">
        <f t="shared" si="8"/>
        <v>115879</v>
      </c>
      <c r="G65" s="1685">
        <f t="shared" si="8"/>
        <v>10595</v>
      </c>
      <c r="H65" s="1685">
        <f t="shared" si="8"/>
        <v>0</v>
      </c>
      <c r="I65" s="1685">
        <f t="shared" si="8"/>
        <v>0</v>
      </c>
      <c r="J65" s="1685">
        <f t="shared" si="8"/>
        <v>0</v>
      </c>
      <c r="K65" s="1685">
        <f t="shared" si="8"/>
        <v>1162474</v>
      </c>
      <c r="L65" s="1685">
        <f t="shared" si="8"/>
        <v>1236579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87">
        <f>SUM(C67:J67)</f>
        <v>0</v>
      </c>
      <c r="L67" s="481">
        <v>0</v>
      </c>
      <c r="M67" s="610"/>
      <c r="N67" s="610"/>
    </row>
    <row r="68" spans="1:14" s="343" customFormat="1" x14ac:dyDescent="0.2">
      <c r="A68" s="1525" t="s">
        <v>628</v>
      </c>
      <c r="B68" s="615">
        <v>2620</v>
      </c>
      <c r="C68" s="466"/>
      <c r="D68" s="466"/>
      <c r="E68" s="466"/>
      <c r="F68" s="466"/>
      <c r="G68" s="466"/>
      <c r="H68" s="466"/>
      <c r="I68" s="467"/>
      <c r="J68" s="467"/>
      <c r="K68" s="1687">
        <f>SUM(C68:J68)</f>
        <v>0</v>
      </c>
      <c r="L68" s="466">
        <v>0</v>
      </c>
      <c r="M68" s="610"/>
      <c r="N68" s="610"/>
    </row>
    <row r="69" spans="1:14" s="343" customFormat="1" x14ac:dyDescent="0.2">
      <c r="A69" s="1525" t="s">
        <v>1121</v>
      </c>
      <c r="B69" s="615">
        <v>2630</v>
      </c>
      <c r="C69" s="466"/>
      <c r="D69" s="466"/>
      <c r="E69" s="466"/>
      <c r="F69" s="466"/>
      <c r="G69" s="466"/>
      <c r="H69" s="466"/>
      <c r="I69" s="467"/>
      <c r="J69" s="467"/>
      <c r="K69" s="1687">
        <f>SUM(C69:J69)</f>
        <v>0</v>
      </c>
      <c r="L69" s="466">
        <v>0</v>
      </c>
      <c r="M69" s="610"/>
      <c r="N69" s="610"/>
    </row>
    <row r="70" spans="1:14" s="343" customFormat="1" x14ac:dyDescent="0.2">
      <c r="A70" s="1525" t="s">
        <v>423</v>
      </c>
      <c r="B70" s="615">
        <v>2640</v>
      </c>
      <c r="C70" s="466"/>
      <c r="D70" s="466"/>
      <c r="E70" s="466"/>
      <c r="F70" s="466"/>
      <c r="G70" s="466"/>
      <c r="H70" s="466"/>
      <c r="I70" s="467"/>
      <c r="J70" s="467"/>
      <c r="K70" s="1687">
        <f>SUM(C70:J70)</f>
        <v>0</v>
      </c>
      <c r="L70" s="466">
        <v>0</v>
      </c>
      <c r="M70" s="610"/>
      <c r="N70" s="610"/>
    </row>
    <row r="71" spans="1:14" s="343" customFormat="1" x14ac:dyDescent="0.2">
      <c r="A71" s="1525" t="s">
        <v>424</v>
      </c>
      <c r="B71" s="615">
        <v>2660</v>
      </c>
      <c r="C71" s="466"/>
      <c r="D71" s="466"/>
      <c r="E71" s="466">
        <v>104826</v>
      </c>
      <c r="F71" s="466"/>
      <c r="G71" s="466"/>
      <c r="H71" s="466"/>
      <c r="I71" s="467"/>
      <c r="J71" s="467"/>
      <c r="K71" s="1687">
        <f>SUM(C71:J71)</f>
        <v>104826</v>
      </c>
      <c r="L71" s="466">
        <v>160498</v>
      </c>
      <c r="M71" s="610"/>
      <c r="N71" s="610"/>
    </row>
    <row r="72" spans="1:14" s="343" customFormat="1" ht="12.75" customHeight="1" thickBot="1" x14ac:dyDescent="0.25">
      <c r="A72" s="1683" t="s">
        <v>37</v>
      </c>
      <c r="B72" s="1690" t="s">
        <v>36</v>
      </c>
      <c r="C72" s="1685">
        <f>SUM(C67:C71)</f>
        <v>0</v>
      </c>
      <c r="D72" s="1685">
        <f t="shared" ref="D72:K72" si="9">SUM(D67:D71)</f>
        <v>0</v>
      </c>
      <c r="E72" s="1685">
        <f t="shared" si="9"/>
        <v>104826</v>
      </c>
      <c r="F72" s="1685">
        <f t="shared" si="9"/>
        <v>0</v>
      </c>
      <c r="G72" s="1685">
        <f t="shared" si="9"/>
        <v>0</v>
      </c>
      <c r="H72" s="1685">
        <f t="shared" si="9"/>
        <v>0</v>
      </c>
      <c r="I72" s="1685">
        <f t="shared" si="9"/>
        <v>0</v>
      </c>
      <c r="J72" s="1685">
        <f t="shared" si="9"/>
        <v>0</v>
      </c>
      <c r="K72" s="1685">
        <f t="shared" si="9"/>
        <v>104826</v>
      </c>
      <c r="L72" s="1685">
        <f>SUM(L67:L71)</f>
        <v>160498</v>
      </c>
      <c r="M72" s="610"/>
      <c r="N72" s="610"/>
    </row>
    <row r="73" spans="1:14" s="343" customFormat="1" ht="14.25" thickTop="1" thickBot="1" x14ac:dyDescent="0.25">
      <c r="A73" s="1531" t="s">
        <v>1037</v>
      </c>
      <c r="B73" s="633" t="s">
        <v>595</v>
      </c>
      <c r="C73" s="573"/>
      <c r="D73" s="573"/>
      <c r="E73" s="573"/>
      <c r="F73" s="573"/>
      <c r="G73" s="573"/>
      <c r="H73" s="573"/>
      <c r="I73" s="531"/>
      <c r="J73" s="531"/>
      <c r="K73" s="1685">
        <f>SUM(C73:J73)</f>
        <v>0</v>
      </c>
      <c r="L73" s="576">
        <v>0</v>
      </c>
      <c r="M73" s="610"/>
      <c r="N73" s="610"/>
    </row>
    <row r="74" spans="1:14" ht="12.75" customHeight="1" thickTop="1" thickBot="1" x14ac:dyDescent="0.25">
      <c r="A74" s="1683" t="s">
        <v>865</v>
      </c>
      <c r="B74" s="1691">
        <v>2000</v>
      </c>
      <c r="C74" s="1692">
        <f>SUM(C42,C47,C53,C57,C65,C72,C73)</f>
        <v>3251525</v>
      </c>
      <c r="D74" s="1692">
        <f t="shared" ref="D74:K74" si="10">SUM(D42,D47,D53,D57,D65,D72,D73)</f>
        <v>898233</v>
      </c>
      <c r="E74" s="1692">
        <f t="shared" si="10"/>
        <v>1056402</v>
      </c>
      <c r="F74" s="1692">
        <f t="shared" si="10"/>
        <v>209726</v>
      </c>
      <c r="G74" s="1692">
        <f t="shared" si="10"/>
        <v>40324</v>
      </c>
      <c r="H74" s="1692">
        <f t="shared" si="10"/>
        <v>5499</v>
      </c>
      <c r="I74" s="1692">
        <f t="shared" si="10"/>
        <v>0</v>
      </c>
      <c r="J74" s="1692">
        <f t="shared" si="10"/>
        <v>0</v>
      </c>
      <c r="K74" s="1692">
        <f t="shared" si="10"/>
        <v>5461709</v>
      </c>
      <c r="L74" s="1692">
        <f>SUM(L42,L47,L53,L57,L65,L72,L73)</f>
        <v>5596811</v>
      </c>
    </row>
    <row r="75" spans="1:14" s="259" customFormat="1" ht="15.75" customHeight="1" thickTop="1" thickBot="1" x14ac:dyDescent="0.25">
      <c r="A75" s="1631" t="s">
        <v>49</v>
      </c>
      <c r="B75" s="1632" t="s">
        <v>596</v>
      </c>
      <c r="C75" s="573"/>
      <c r="D75" s="573"/>
      <c r="E75" s="573"/>
      <c r="F75" s="573"/>
      <c r="G75" s="573"/>
      <c r="H75" s="573"/>
      <c r="I75" s="531"/>
      <c r="J75" s="531"/>
      <c r="K75" s="1685">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86">
        <f t="shared" ref="K78:K83" si="11">SUM(C78:J78)</f>
        <v>0</v>
      </c>
      <c r="L78" s="481">
        <v>0</v>
      </c>
    </row>
    <row r="79" spans="1:14" x14ac:dyDescent="0.2">
      <c r="A79" s="1525" t="s">
        <v>322</v>
      </c>
      <c r="B79" s="615">
        <v>4120</v>
      </c>
      <c r="C79" s="617"/>
      <c r="D79" s="617"/>
      <c r="E79" s="466">
        <v>376000</v>
      </c>
      <c r="F79" s="617"/>
      <c r="G79" s="617"/>
      <c r="H79" s="466">
        <f>124173+601500</f>
        <v>725673</v>
      </c>
      <c r="I79" s="477"/>
      <c r="J79" s="477"/>
      <c r="K79" s="1686">
        <f t="shared" si="11"/>
        <v>1101673</v>
      </c>
      <c r="L79" s="466">
        <v>966000</v>
      </c>
    </row>
    <row r="80" spans="1:14" x14ac:dyDescent="0.2">
      <c r="A80" s="1525" t="s">
        <v>323</v>
      </c>
      <c r="B80" s="615">
        <v>4130</v>
      </c>
      <c r="C80" s="617"/>
      <c r="D80" s="617"/>
      <c r="E80" s="466"/>
      <c r="F80" s="617"/>
      <c r="G80" s="617"/>
      <c r="H80" s="466"/>
      <c r="I80" s="477"/>
      <c r="J80" s="477"/>
      <c r="K80" s="1686">
        <f t="shared" si="11"/>
        <v>0</v>
      </c>
      <c r="L80" s="466">
        <v>0</v>
      </c>
    </row>
    <row r="81" spans="1:12" x14ac:dyDescent="0.2">
      <c r="A81" s="1525" t="s">
        <v>721</v>
      </c>
      <c r="B81" s="615">
        <v>4140</v>
      </c>
      <c r="C81" s="617"/>
      <c r="D81" s="617"/>
      <c r="E81" s="466"/>
      <c r="F81" s="617"/>
      <c r="G81" s="617"/>
      <c r="H81" s="466"/>
      <c r="I81" s="477"/>
      <c r="J81" s="477"/>
      <c r="K81" s="1686">
        <f t="shared" si="11"/>
        <v>0</v>
      </c>
      <c r="L81" s="466">
        <v>0</v>
      </c>
    </row>
    <row r="82" spans="1:12" x14ac:dyDescent="0.2">
      <c r="A82" s="1525" t="s">
        <v>88</v>
      </c>
      <c r="B82" s="615">
        <v>4170</v>
      </c>
      <c r="C82" s="617"/>
      <c r="D82" s="617"/>
      <c r="E82" s="466"/>
      <c r="F82" s="617"/>
      <c r="G82" s="617"/>
      <c r="H82" s="466"/>
      <c r="I82" s="477"/>
      <c r="J82" s="477"/>
      <c r="K82" s="1686">
        <f t="shared" si="11"/>
        <v>0</v>
      </c>
      <c r="L82" s="466">
        <v>0</v>
      </c>
    </row>
    <row r="83" spans="1:12" x14ac:dyDescent="0.2">
      <c r="A83" s="1529" t="s">
        <v>722</v>
      </c>
      <c r="B83" s="629">
        <v>4190</v>
      </c>
      <c r="C83" s="617"/>
      <c r="D83" s="617"/>
      <c r="E83" s="466"/>
      <c r="F83" s="617"/>
      <c r="G83" s="617"/>
      <c r="H83" s="466"/>
      <c r="I83" s="477"/>
      <c r="J83" s="477"/>
      <c r="K83" s="1686">
        <f t="shared" si="11"/>
        <v>0</v>
      </c>
      <c r="L83" s="466">
        <v>0</v>
      </c>
    </row>
    <row r="84" spans="1:12" ht="13.5" thickBot="1" x14ac:dyDescent="0.25">
      <c r="A84" s="1683" t="s">
        <v>1565</v>
      </c>
      <c r="B84" s="1693">
        <v>4100</v>
      </c>
      <c r="C84" s="617"/>
      <c r="D84" s="617"/>
      <c r="E84" s="1685">
        <f>SUM(E78:E83)</f>
        <v>376000</v>
      </c>
      <c r="F84" s="617"/>
      <c r="G84" s="617"/>
      <c r="H84" s="1685">
        <f>SUM(H78:H83)</f>
        <v>725673</v>
      </c>
      <c r="I84" s="477"/>
      <c r="J84" s="477"/>
      <c r="K84" s="1685">
        <f>SUM(K78:K83)</f>
        <v>1101673</v>
      </c>
      <c r="L84" s="1685">
        <f>SUM(L78:L83)</f>
        <v>966000</v>
      </c>
    </row>
    <row r="85" spans="1:12" ht="12.75" customHeight="1" thickTop="1" thickBot="1" x14ac:dyDescent="0.25">
      <c r="A85" s="1532" t="s">
        <v>273</v>
      </c>
      <c r="B85" s="636">
        <v>4210</v>
      </c>
      <c r="C85" s="617"/>
      <c r="D85" s="617"/>
      <c r="E85" s="637"/>
      <c r="F85" s="617"/>
      <c r="G85" s="617"/>
      <c r="H85" s="535"/>
      <c r="I85" s="477"/>
      <c r="J85" s="477"/>
      <c r="K85" s="1692">
        <f>H85</f>
        <v>0</v>
      </c>
      <c r="L85" s="530">
        <v>0</v>
      </c>
    </row>
    <row r="86" spans="1:12" ht="12.75" customHeight="1" thickTop="1" thickBot="1" x14ac:dyDescent="0.25">
      <c r="A86" s="1533" t="s">
        <v>723</v>
      </c>
      <c r="B86" s="638">
        <v>4220</v>
      </c>
      <c r="C86" s="617"/>
      <c r="D86" s="617"/>
      <c r="E86" s="639"/>
      <c r="F86" s="617"/>
      <c r="G86" s="617"/>
      <c r="H86" s="467"/>
      <c r="I86" s="477"/>
      <c r="J86" s="477"/>
      <c r="K86" s="1692">
        <f t="shared" ref="K86:K98" si="12">H86</f>
        <v>0</v>
      </c>
      <c r="L86" s="530">
        <v>0</v>
      </c>
    </row>
    <row r="87" spans="1:12" ht="14.25" thickTop="1" thickBot="1" x14ac:dyDescent="0.25">
      <c r="A87" s="1534" t="s">
        <v>724</v>
      </c>
      <c r="B87" s="640">
        <v>4230</v>
      </c>
      <c r="C87" s="617"/>
      <c r="D87" s="617"/>
      <c r="E87" s="639"/>
      <c r="F87" s="617"/>
      <c r="G87" s="617"/>
      <c r="H87" s="467"/>
      <c r="I87" s="477"/>
      <c r="J87" s="477"/>
      <c r="K87" s="1692">
        <f t="shared" si="12"/>
        <v>0</v>
      </c>
      <c r="L87" s="530">
        <v>0</v>
      </c>
    </row>
    <row r="88" spans="1:12" ht="12.75" customHeight="1" thickTop="1" thickBot="1" x14ac:dyDescent="0.25">
      <c r="A88" s="1534" t="s">
        <v>789</v>
      </c>
      <c r="B88" s="640">
        <v>4240</v>
      </c>
      <c r="C88" s="617"/>
      <c r="D88" s="617"/>
      <c r="E88" s="639"/>
      <c r="F88" s="617"/>
      <c r="G88" s="617"/>
      <c r="H88" s="467"/>
      <c r="I88" s="477"/>
      <c r="J88" s="477"/>
      <c r="K88" s="1692">
        <f t="shared" si="12"/>
        <v>0</v>
      </c>
      <c r="L88" s="530">
        <v>0</v>
      </c>
    </row>
    <row r="89" spans="1:12" ht="12.75" customHeight="1" thickTop="1" thickBot="1" x14ac:dyDescent="0.25">
      <c r="A89" s="1534" t="s">
        <v>725</v>
      </c>
      <c r="B89" s="640">
        <v>4270</v>
      </c>
      <c r="C89" s="617"/>
      <c r="D89" s="617"/>
      <c r="E89" s="639"/>
      <c r="F89" s="617"/>
      <c r="G89" s="617"/>
      <c r="H89" s="467"/>
      <c r="I89" s="477"/>
      <c r="J89" s="477"/>
      <c r="K89" s="1692">
        <f t="shared" si="12"/>
        <v>0</v>
      </c>
      <c r="L89" s="530">
        <v>0</v>
      </c>
    </row>
    <row r="90" spans="1:12" ht="12.75" customHeight="1" thickTop="1" thickBot="1" x14ac:dyDescent="0.25">
      <c r="A90" s="1534" t="s">
        <v>710</v>
      </c>
      <c r="B90" s="640">
        <v>4280</v>
      </c>
      <c r="C90" s="617"/>
      <c r="D90" s="617"/>
      <c r="E90" s="639"/>
      <c r="F90" s="617"/>
      <c r="G90" s="617"/>
      <c r="H90" s="467"/>
      <c r="I90" s="477"/>
      <c r="J90" s="477"/>
      <c r="K90" s="1692">
        <f t="shared" si="12"/>
        <v>0</v>
      </c>
      <c r="L90" s="530">
        <v>0</v>
      </c>
    </row>
    <row r="91" spans="1:12" ht="12.75" customHeight="1" thickTop="1" thickBot="1" x14ac:dyDescent="0.25">
      <c r="A91" s="1534" t="s">
        <v>711</v>
      </c>
      <c r="B91" s="640">
        <v>4290</v>
      </c>
      <c r="C91" s="617"/>
      <c r="D91" s="617"/>
      <c r="E91" s="639"/>
      <c r="F91" s="617"/>
      <c r="G91" s="617"/>
      <c r="H91" s="467"/>
      <c r="I91" s="477"/>
      <c r="J91" s="477"/>
      <c r="K91" s="1692">
        <f t="shared" si="12"/>
        <v>0</v>
      </c>
      <c r="L91" s="530">
        <v>0</v>
      </c>
    </row>
    <row r="92" spans="1:12" ht="14.25" thickTop="1" thickBot="1" x14ac:dyDescent="0.25">
      <c r="A92" s="1695" t="s">
        <v>1641</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33" t="s">
        <v>712</v>
      </c>
      <c r="B93" s="641">
        <v>4310</v>
      </c>
      <c r="C93" s="617"/>
      <c r="D93" s="617"/>
      <c r="E93" s="639"/>
      <c r="F93" s="617"/>
      <c r="G93" s="617"/>
      <c r="H93" s="642"/>
      <c r="I93" s="477"/>
      <c r="J93" s="477"/>
      <c r="K93" s="1692">
        <f t="shared" si="12"/>
        <v>0</v>
      </c>
      <c r="L93" s="532">
        <v>0</v>
      </c>
    </row>
    <row r="94" spans="1:12" ht="12.75" customHeight="1" thickTop="1" thickBot="1" x14ac:dyDescent="0.25">
      <c r="A94" s="1534" t="s">
        <v>713</v>
      </c>
      <c r="B94" s="640">
        <v>4320</v>
      </c>
      <c r="C94" s="617"/>
      <c r="D94" s="617"/>
      <c r="E94" s="639"/>
      <c r="F94" s="617"/>
      <c r="G94" s="617"/>
      <c r="H94" s="467"/>
      <c r="I94" s="477"/>
      <c r="J94" s="477"/>
      <c r="K94" s="1692">
        <f t="shared" si="12"/>
        <v>0</v>
      </c>
      <c r="L94" s="530">
        <v>0</v>
      </c>
    </row>
    <row r="95" spans="1:12" ht="15" customHeight="1" thickTop="1" thickBot="1" x14ac:dyDescent="0.25">
      <c r="A95" s="1534" t="s">
        <v>1568</v>
      </c>
      <c r="B95" s="640">
        <v>4330</v>
      </c>
      <c r="C95" s="617"/>
      <c r="D95" s="617"/>
      <c r="E95" s="639"/>
      <c r="F95" s="617"/>
      <c r="G95" s="617"/>
      <c r="H95" s="467"/>
      <c r="I95" s="477"/>
      <c r="J95" s="477"/>
      <c r="K95" s="1692">
        <f t="shared" si="12"/>
        <v>0</v>
      </c>
      <c r="L95" s="530">
        <v>0</v>
      </c>
    </row>
    <row r="96" spans="1:12" ht="14.25" thickTop="1" thickBot="1" x14ac:dyDescent="0.25">
      <c r="A96" s="1534" t="s">
        <v>714</v>
      </c>
      <c r="B96" s="640">
        <v>4340</v>
      </c>
      <c r="C96" s="617"/>
      <c r="D96" s="617"/>
      <c r="E96" s="639"/>
      <c r="F96" s="617"/>
      <c r="G96" s="617"/>
      <c r="H96" s="467"/>
      <c r="I96" s="477"/>
      <c r="J96" s="477"/>
      <c r="K96" s="1692">
        <f t="shared" si="12"/>
        <v>0</v>
      </c>
      <c r="L96" s="530">
        <v>0</v>
      </c>
    </row>
    <row r="97" spans="1:14" ht="12.75" customHeight="1" thickTop="1" thickBot="1" x14ac:dyDescent="0.25">
      <c r="A97" s="1534" t="s">
        <v>787</v>
      </c>
      <c r="B97" s="640">
        <v>4370</v>
      </c>
      <c r="C97" s="617"/>
      <c r="D97" s="617"/>
      <c r="E97" s="639"/>
      <c r="F97" s="617"/>
      <c r="G97" s="617"/>
      <c r="H97" s="467"/>
      <c r="I97" s="477"/>
      <c r="J97" s="477"/>
      <c r="K97" s="1692">
        <f t="shared" si="12"/>
        <v>0</v>
      </c>
      <c r="L97" s="530">
        <v>0</v>
      </c>
    </row>
    <row r="98" spans="1:14" ht="14.25" thickTop="1" thickBot="1" x14ac:dyDescent="0.25">
      <c r="A98" s="1534" t="s">
        <v>788</v>
      </c>
      <c r="B98" s="640">
        <v>4380</v>
      </c>
      <c r="C98" s="617"/>
      <c r="D98" s="617"/>
      <c r="E98" s="643"/>
      <c r="F98" s="617"/>
      <c r="G98" s="617"/>
      <c r="H98" s="467"/>
      <c r="I98" s="477"/>
      <c r="J98" s="477"/>
      <c r="K98" s="1692">
        <f t="shared" si="12"/>
        <v>0</v>
      </c>
      <c r="L98" s="530">
        <v>0</v>
      </c>
    </row>
    <row r="99" spans="1:14" ht="14.25" thickTop="1" thickBot="1" x14ac:dyDescent="0.25">
      <c r="A99" s="1534" t="s">
        <v>385</v>
      </c>
      <c r="B99" s="640">
        <v>4390</v>
      </c>
      <c r="C99" s="617"/>
      <c r="D99" s="617"/>
      <c r="E99" s="532"/>
      <c r="F99" s="617"/>
      <c r="G99" s="617"/>
      <c r="H99" s="467"/>
      <c r="I99" s="477"/>
      <c r="J99" s="477"/>
      <c r="K99" s="1692">
        <f>SUM(E99,H99)</f>
        <v>0</v>
      </c>
      <c r="L99" s="530">
        <v>0</v>
      </c>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31" t="s">
        <v>1569</v>
      </c>
      <c r="B101" s="644" t="s">
        <v>988</v>
      </c>
      <c r="C101" s="617"/>
      <c r="D101" s="617"/>
      <c r="E101" s="531"/>
      <c r="F101" s="617"/>
      <c r="G101" s="617"/>
      <c r="H101" s="531"/>
      <c r="I101" s="477"/>
      <c r="J101" s="477"/>
      <c r="K101" s="1694">
        <f>SUM(C101:J101)</f>
        <v>0</v>
      </c>
      <c r="L101" s="530">
        <v>0</v>
      </c>
    </row>
    <row r="102" spans="1:14" ht="12.75" customHeight="1" thickTop="1" thickBot="1" x14ac:dyDescent="0.25">
      <c r="A102" s="1683" t="s">
        <v>1567</v>
      </c>
      <c r="B102" s="1693">
        <v>4000</v>
      </c>
      <c r="C102" s="617"/>
      <c r="D102" s="617"/>
      <c r="E102" s="1692">
        <f>SUM(E84,E92,E100,E101)</f>
        <v>376000</v>
      </c>
      <c r="F102" s="617"/>
      <c r="G102" s="617"/>
      <c r="H102" s="1692">
        <f>SUM(H84,H92,H100,H101)</f>
        <v>725673</v>
      </c>
      <c r="I102" s="477"/>
      <c r="J102" s="477"/>
      <c r="K102" s="1692">
        <f>SUM(K84,K92,K100,K101)</f>
        <v>1101673</v>
      </c>
      <c r="L102" s="1692">
        <f>SUM(L84,L92,L100,L101)</f>
        <v>966000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6">
        <f>H105</f>
        <v>0</v>
      </c>
      <c r="L105" s="481">
        <v>0</v>
      </c>
      <c r="M105" s="210"/>
      <c r="N105" s="210"/>
    </row>
    <row r="106" spans="1:14" s="598" customFormat="1" x14ac:dyDescent="0.2">
      <c r="A106" s="1525" t="s">
        <v>90</v>
      </c>
      <c r="B106" s="615">
        <v>5120</v>
      </c>
      <c r="C106" s="617"/>
      <c r="D106" s="617"/>
      <c r="E106" s="617"/>
      <c r="F106" s="617"/>
      <c r="G106" s="617"/>
      <c r="H106" s="466"/>
      <c r="I106" s="468"/>
      <c r="J106" s="468"/>
      <c r="K106" s="1686">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86">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86">
        <f>H108</f>
        <v>0</v>
      </c>
      <c r="L108" s="466">
        <v>0</v>
      </c>
      <c r="M108" s="210"/>
      <c r="N108" s="210"/>
    </row>
    <row r="109" spans="1:14" s="598" customFormat="1" x14ac:dyDescent="0.2">
      <c r="A109" s="1525" t="s">
        <v>272</v>
      </c>
      <c r="B109" s="629">
        <v>5150</v>
      </c>
      <c r="C109" s="617"/>
      <c r="D109" s="617"/>
      <c r="E109" s="617"/>
      <c r="F109" s="617"/>
      <c r="G109" s="617"/>
      <c r="H109" s="466"/>
      <c r="I109" s="468"/>
      <c r="J109" s="468"/>
      <c r="K109" s="1686">
        <f>H109</f>
        <v>0</v>
      </c>
      <c r="L109" s="466">
        <v>0</v>
      </c>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3" t="s">
        <v>50</v>
      </c>
      <c r="B114" s="1697"/>
      <c r="C114" s="1685">
        <f>SUM(C33,C74,C75,C102,C112,C113)</f>
        <v>7228020</v>
      </c>
      <c r="D114" s="1685">
        <f t="shared" ref="D114:K114" si="13">SUM(D33,D74,D75,D102,D112,D113)</f>
        <v>2210552</v>
      </c>
      <c r="E114" s="1685">
        <f t="shared" si="13"/>
        <v>1572414</v>
      </c>
      <c r="F114" s="1685">
        <f t="shared" si="13"/>
        <v>274250</v>
      </c>
      <c r="G114" s="1685">
        <f t="shared" si="13"/>
        <v>55761</v>
      </c>
      <c r="H114" s="1685">
        <f>SUM(H33,H74,H75,H102,H112,H113)</f>
        <v>997873</v>
      </c>
      <c r="I114" s="1685">
        <f t="shared" si="13"/>
        <v>0</v>
      </c>
      <c r="J114" s="1685">
        <f t="shared" si="13"/>
        <v>0</v>
      </c>
      <c r="K114" s="1685">
        <f t="shared" si="13"/>
        <v>12338870</v>
      </c>
      <c r="L114" s="1685">
        <f>SUM(L33,L74,L75,L102,L112,L113)</f>
        <v>12456695</v>
      </c>
    </row>
    <row r="115" spans="1:14" ht="13.5" thickTop="1" x14ac:dyDescent="0.2">
      <c r="A115" s="2231" t="s">
        <v>1053</v>
      </c>
      <c r="B115" s="2232"/>
      <c r="C115" s="619"/>
      <c r="D115" s="619"/>
      <c r="E115" s="619"/>
      <c r="F115" s="619"/>
      <c r="G115" s="619"/>
      <c r="H115" s="619"/>
      <c r="I115" s="619"/>
      <c r="J115" s="619"/>
      <c r="K115" s="1699">
        <f>'Revenues 9-14'!C275-'Expenditures 15-22'!K114</f>
        <v>868440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314</v>
      </c>
      <c r="B117" s="2210"/>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6">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5">
        <f>SUM(C122:J122)</f>
        <v>0</v>
      </c>
      <c r="L122" s="466">
        <v>0</v>
      </c>
    </row>
    <row r="123" spans="1:14" ht="14.25" thickTop="1" thickBot="1" x14ac:dyDescent="0.25">
      <c r="A123" s="1525" t="s">
        <v>4</v>
      </c>
      <c r="B123" s="615">
        <v>2530</v>
      </c>
      <c r="C123" s="466"/>
      <c r="D123" s="466"/>
      <c r="E123" s="466"/>
      <c r="F123" s="466"/>
      <c r="G123" s="466"/>
      <c r="H123" s="466"/>
      <c r="I123" s="467"/>
      <c r="J123" s="467"/>
      <c r="K123" s="1685">
        <f>SUM(C123:J123)</f>
        <v>0</v>
      </c>
      <c r="L123" s="466">
        <v>0</v>
      </c>
    </row>
    <row r="124" spans="1:14" ht="14.25" thickTop="1" thickBot="1" x14ac:dyDescent="0.25">
      <c r="A124" s="1525" t="s">
        <v>206</v>
      </c>
      <c r="B124" s="615">
        <v>2540</v>
      </c>
      <c r="C124" s="466"/>
      <c r="D124" s="466"/>
      <c r="E124" s="466"/>
      <c r="F124" s="466"/>
      <c r="G124" s="466"/>
      <c r="H124" s="466"/>
      <c r="I124" s="467"/>
      <c r="J124" s="467"/>
      <c r="K124" s="1685">
        <f>SUM(C124:J124)</f>
        <v>0</v>
      </c>
      <c r="L124" s="466">
        <v>0</v>
      </c>
    </row>
    <row r="125" spans="1:14" ht="14.25" thickTop="1" thickBot="1" x14ac:dyDescent="0.25">
      <c r="A125" s="1525" t="s">
        <v>1010</v>
      </c>
      <c r="B125" s="615">
        <v>2550</v>
      </c>
      <c r="C125" s="466"/>
      <c r="D125" s="466"/>
      <c r="E125" s="466"/>
      <c r="F125" s="466"/>
      <c r="G125" s="466"/>
      <c r="H125" s="466"/>
      <c r="I125" s="467"/>
      <c r="J125" s="467"/>
      <c r="K125" s="1685">
        <f>SUM(C125:J125)</f>
        <v>0</v>
      </c>
      <c r="L125" s="466">
        <v>0</v>
      </c>
    </row>
    <row r="126" spans="1:14" ht="14.25" thickTop="1" thickBot="1" x14ac:dyDescent="0.25">
      <c r="A126" s="1525" t="s">
        <v>102</v>
      </c>
      <c r="B126" s="615">
        <v>2560</v>
      </c>
      <c r="C126" s="655"/>
      <c r="D126" s="655"/>
      <c r="E126" s="655"/>
      <c r="F126" s="655"/>
      <c r="G126" s="466"/>
      <c r="H126" s="655"/>
      <c r="I126" s="474"/>
      <c r="J126" s="617"/>
      <c r="K126" s="1685">
        <f>SUM(C126:J126)</f>
        <v>0</v>
      </c>
      <c r="L126" s="466">
        <v>0</v>
      </c>
    </row>
    <row r="127" spans="1:14" ht="12.75" customHeight="1" thickTop="1" thickBot="1" x14ac:dyDescent="0.25">
      <c r="A127" s="1683" t="s">
        <v>743</v>
      </c>
      <c r="B127" s="1684" t="s">
        <v>35</v>
      </c>
      <c r="C127" s="1685">
        <f>SUM(C122:C126)</f>
        <v>0</v>
      </c>
      <c r="D127" s="1685">
        <f t="shared" ref="D127:L127" si="14">SUM(D122:D126)</f>
        <v>0</v>
      </c>
      <c r="E127" s="1685">
        <f t="shared" si="14"/>
        <v>0</v>
      </c>
      <c r="F127" s="1685">
        <f t="shared" si="14"/>
        <v>0</v>
      </c>
      <c r="G127" s="1685">
        <f t="shared" si="14"/>
        <v>0</v>
      </c>
      <c r="H127" s="1685">
        <f t="shared" si="14"/>
        <v>0</v>
      </c>
      <c r="I127" s="1685">
        <f t="shared" si="14"/>
        <v>0</v>
      </c>
      <c r="J127" s="1685">
        <f t="shared" si="14"/>
        <v>0</v>
      </c>
      <c r="K127" s="1685">
        <f t="shared" si="14"/>
        <v>0</v>
      </c>
      <c r="L127" s="1685">
        <f t="shared" si="14"/>
        <v>0</v>
      </c>
    </row>
    <row r="128" spans="1:14" ht="12.75" customHeight="1" thickTop="1" x14ac:dyDescent="0.2">
      <c r="A128" s="1532" t="s">
        <v>1037</v>
      </c>
      <c r="B128" s="656" t="s">
        <v>595</v>
      </c>
      <c r="C128" s="657"/>
      <c r="D128" s="657"/>
      <c r="E128" s="657"/>
      <c r="F128" s="657"/>
      <c r="G128" s="657"/>
      <c r="H128" s="657"/>
      <c r="I128" s="535"/>
      <c r="J128" s="535"/>
      <c r="K128" s="1700">
        <f>SUM(C128:J128)</f>
        <v>0</v>
      </c>
      <c r="L128" s="657">
        <v>0</v>
      </c>
    </row>
    <row r="129" spans="1:14" ht="12.75" customHeight="1" thickBot="1" x14ac:dyDescent="0.25">
      <c r="A129" s="1701" t="s">
        <v>865</v>
      </c>
      <c r="B129" s="1702" t="s">
        <v>590</v>
      </c>
      <c r="C129" s="1692">
        <f>SUM(C120,C127,C128)</f>
        <v>0</v>
      </c>
      <c r="D129" s="1692">
        <f t="shared" ref="D129:L129" si="15">SUM(D120,D127,D128)</f>
        <v>0</v>
      </c>
      <c r="E129" s="1692">
        <f t="shared" si="15"/>
        <v>0</v>
      </c>
      <c r="F129" s="1692">
        <f t="shared" si="15"/>
        <v>0</v>
      </c>
      <c r="G129" s="1692">
        <f t="shared" si="15"/>
        <v>0</v>
      </c>
      <c r="H129" s="1692">
        <f t="shared" si="15"/>
        <v>0</v>
      </c>
      <c r="I129" s="1692">
        <f t="shared" si="15"/>
        <v>0</v>
      </c>
      <c r="J129" s="1692">
        <f t="shared" si="15"/>
        <v>0</v>
      </c>
      <c r="K129" s="1692">
        <f t="shared" si="15"/>
        <v>0</v>
      </c>
      <c r="L129" s="1692">
        <f t="shared" si="15"/>
        <v>0</v>
      </c>
    </row>
    <row r="130" spans="1:14" ht="15.75" customHeight="1" thickTop="1" thickBot="1" x14ac:dyDescent="0.25">
      <c r="A130" s="1631" t="s">
        <v>1096</v>
      </c>
      <c r="B130" s="1632" t="s">
        <v>596</v>
      </c>
      <c r="C130" s="576"/>
      <c r="D130" s="576"/>
      <c r="E130" s="576"/>
      <c r="F130" s="576"/>
      <c r="G130" s="576"/>
      <c r="H130" s="576"/>
      <c r="I130" s="531"/>
      <c r="J130" s="531"/>
      <c r="K130" s="1685">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6" t="s">
        <v>1952</v>
      </c>
      <c r="C133" s="468"/>
      <c r="D133" s="468"/>
      <c r="E133" s="642"/>
      <c r="F133" s="468"/>
      <c r="G133" s="468"/>
      <c r="H133" s="642"/>
      <c r="I133" s="468"/>
      <c r="J133" s="468"/>
      <c r="K133" s="1837">
        <f>SUM(E133,H133)</f>
        <v>0</v>
      </c>
      <c r="L133" s="642">
        <v>0</v>
      </c>
      <c r="M133" s="206"/>
      <c r="N133" s="206"/>
    </row>
    <row r="134" spans="1:14" x14ac:dyDescent="0.2">
      <c r="A134" s="1525" t="s">
        <v>322</v>
      </c>
      <c r="B134" s="615">
        <v>4120</v>
      </c>
      <c r="C134" s="617"/>
      <c r="D134" s="617"/>
      <c r="E134" s="478"/>
      <c r="F134" s="617"/>
      <c r="G134" s="617"/>
      <c r="H134" s="481"/>
      <c r="I134" s="477"/>
      <c r="J134" s="617"/>
      <c r="K134" s="1687">
        <f>SUM(E134,H134)</f>
        <v>0</v>
      </c>
      <c r="L134" s="481">
        <v>0</v>
      </c>
    </row>
    <row r="135" spans="1:14" x14ac:dyDescent="0.2">
      <c r="A135" s="1525" t="s">
        <v>721</v>
      </c>
      <c r="B135" s="615">
        <v>4140</v>
      </c>
      <c r="C135" s="617"/>
      <c r="D135" s="617"/>
      <c r="E135" s="467"/>
      <c r="F135" s="617"/>
      <c r="G135" s="617"/>
      <c r="H135" s="466"/>
      <c r="I135" s="477"/>
      <c r="J135" s="617"/>
      <c r="K135" s="1687">
        <f>SUM(E135,H135)</f>
        <v>0</v>
      </c>
      <c r="L135" s="466">
        <v>0</v>
      </c>
    </row>
    <row r="136" spans="1:14" x14ac:dyDescent="0.2">
      <c r="A136" s="1529" t="s">
        <v>722</v>
      </c>
      <c r="B136" s="629">
        <v>4190</v>
      </c>
      <c r="C136" s="617"/>
      <c r="D136" s="617"/>
      <c r="E136" s="467"/>
      <c r="F136" s="617"/>
      <c r="G136" s="617"/>
      <c r="H136" s="466"/>
      <c r="I136" s="477"/>
      <c r="J136" s="617"/>
      <c r="K136" s="1687">
        <f>SUM(E136,H136)</f>
        <v>0</v>
      </c>
      <c r="L136" s="466">
        <v>0</v>
      </c>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31" t="s">
        <v>98</v>
      </c>
      <c r="B138" s="644" t="s">
        <v>988</v>
      </c>
      <c r="C138" s="617"/>
      <c r="D138" s="617"/>
      <c r="E138" s="479"/>
      <c r="F138" s="617"/>
      <c r="G138" s="617"/>
      <c r="H138" s="576"/>
      <c r="I138" s="477"/>
      <c r="J138" s="617"/>
      <c r="K138" s="1687">
        <f>SUM(E138,H138)</f>
        <v>0</v>
      </c>
      <c r="L138" s="576">
        <v>0</v>
      </c>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87">
        <f>SUM(H142)</f>
        <v>0</v>
      </c>
      <c r="L142" s="481">
        <v>0</v>
      </c>
    </row>
    <row r="143" spans="1:14" x14ac:dyDescent="0.2">
      <c r="A143" s="1525" t="s">
        <v>90</v>
      </c>
      <c r="B143" s="615">
        <v>5120</v>
      </c>
      <c r="C143" s="617"/>
      <c r="D143" s="617"/>
      <c r="E143" s="617"/>
      <c r="F143" s="617"/>
      <c r="G143" s="617"/>
      <c r="H143" s="466"/>
      <c r="I143" s="468"/>
      <c r="J143" s="617"/>
      <c r="K143" s="1687">
        <f>SUM(H143)</f>
        <v>0</v>
      </c>
      <c r="L143" s="466">
        <v>0</v>
      </c>
    </row>
    <row r="144" spans="1:14" ht="12.75" customHeight="1" x14ac:dyDescent="0.2">
      <c r="A144" s="1525" t="s">
        <v>1232</v>
      </c>
      <c r="B144" s="629" t="s">
        <v>638</v>
      </c>
      <c r="C144" s="617"/>
      <c r="D144" s="617"/>
      <c r="E144" s="617"/>
      <c r="F144" s="617"/>
      <c r="G144" s="617"/>
      <c r="H144" s="466"/>
      <c r="I144" s="468"/>
      <c r="J144" s="617"/>
      <c r="K144" s="1687">
        <f>SUM(H144)</f>
        <v>0</v>
      </c>
      <c r="L144" s="466">
        <v>0</v>
      </c>
    </row>
    <row r="145" spans="1:14" x14ac:dyDescent="0.2">
      <c r="A145" s="1525" t="s">
        <v>91</v>
      </c>
      <c r="B145" s="615" t="s">
        <v>610</v>
      </c>
      <c r="C145" s="617"/>
      <c r="D145" s="617"/>
      <c r="E145" s="617"/>
      <c r="F145" s="617"/>
      <c r="G145" s="617"/>
      <c r="H145" s="466"/>
      <c r="I145" s="468"/>
      <c r="J145" s="617"/>
      <c r="K145" s="1687">
        <f>SUM(H145)</f>
        <v>0</v>
      </c>
      <c r="L145" s="466">
        <v>0</v>
      </c>
    </row>
    <row r="146" spans="1:14" ht="12.75" customHeight="1" x14ac:dyDescent="0.2">
      <c r="A146" s="1525" t="s">
        <v>640</v>
      </c>
      <c r="B146" s="615" t="s">
        <v>639</v>
      </c>
      <c r="C146" s="617"/>
      <c r="D146" s="617"/>
      <c r="E146" s="617"/>
      <c r="F146" s="617"/>
      <c r="G146" s="617"/>
      <c r="H146" s="466"/>
      <c r="I146" s="468"/>
      <c r="J146" s="617"/>
      <c r="K146" s="1687">
        <f>SUM(H146)</f>
        <v>0</v>
      </c>
      <c r="L146" s="466">
        <v>0</v>
      </c>
    </row>
    <row r="147" spans="1:14" ht="12.75" customHeight="1" thickBot="1" x14ac:dyDescent="0.25">
      <c r="A147" s="1536"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v>0</v>
      </c>
    </row>
    <row r="149" spans="1:14" ht="12.75" customHeight="1" thickBot="1" x14ac:dyDescent="0.25">
      <c r="A149" s="1528"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221" t="s">
        <v>641</v>
      </c>
      <c r="B151" s="2203"/>
      <c r="C151" s="1685">
        <f>SUM(C129,C130,C139,C149,C150)</f>
        <v>0</v>
      </c>
      <c r="D151" s="1685">
        <f t="shared" ref="D151:K151" si="16">SUM(D129,D130,D139,D149,D150)</f>
        <v>0</v>
      </c>
      <c r="E151" s="1685">
        <f t="shared" si="16"/>
        <v>0</v>
      </c>
      <c r="F151" s="1685">
        <f t="shared" si="16"/>
        <v>0</v>
      </c>
      <c r="G151" s="1685">
        <f t="shared" si="16"/>
        <v>0</v>
      </c>
      <c r="H151" s="1685">
        <f t="shared" si="16"/>
        <v>0</v>
      </c>
      <c r="I151" s="1685">
        <f t="shared" si="16"/>
        <v>0</v>
      </c>
      <c r="J151" s="1685">
        <f t="shared" si="16"/>
        <v>0</v>
      </c>
      <c r="K151" s="1685">
        <f t="shared" si="16"/>
        <v>0</v>
      </c>
      <c r="L151" s="1685">
        <f>SUM(L129,L130,L139,L149,L150)</f>
        <v>0</v>
      </c>
    </row>
    <row r="152" spans="1:14" ht="12.75" customHeight="1" thickTop="1" x14ac:dyDescent="0.2">
      <c r="A152" s="2224" t="s">
        <v>1240</v>
      </c>
      <c r="B152" s="2225"/>
      <c r="C152" s="619"/>
      <c r="D152" s="619"/>
      <c r="E152" s="619"/>
      <c r="F152" s="619"/>
      <c r="G152" s="619"/>
      <c r="H152" s="619"/>
      <c r="I152" s="619"/>
      <c r="J152" s="617"/>
      <c r="K152" s="1699">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642</v>
      </c>
      <c r="B154" s="2211"/>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7"/>
      <c r="I155" s="617"/>
      <c r="J155" s="617"/>
      <c r="K155" s="1841"/>
      <c r="L155" s="1857"/>
      <c r="M155" s="620"/>
      <c r="N155" s="620"/>
    </row>
    <row r="156" spans="1:14" s="621" customFormat="1" ht="15.75" customHeight="1" thickTop="1" x14ac:dyDescent="0.2">
      <c r="A156" s="1838" t="s">
        <v>1953</v>
      </c>
      <c r="B156" s="1839"/>
      <c r="C156" s="617"/>
      <c r="D156" s="617"/>
      <c r="E156" s="617"/>
      <c r="F156" s="617"/>
      <c r="G156" s="617"/>
      <c r="H156" s="1858"/>
      <c r="I156" s="617"/>
      <c r="J156" s="617"/>
      <c r="K156" s="1840"/>
      <c r="L156" s="1858"/>
      <c r="M156" s="620"/>
      <c r="N156" s="620"/>
    </row>
    <row r="157" spans="1:14" s="621" customFormat="1" ht="12" x14ac:dyDescent="0.2">
      <c r="A157" s="1842" t="s">
        <v>517</v>
      </c>
      <c r="B157" s="1843" t="s">
        <v>1952</v>
      </c>
      <c r="C157" s="617"/>
      <c r="D157" s="617"/>
      <c r="E157" s="617"/>
      <c r="F157" s="617"/>
      <c r="G157" s="617"/>
      <c r="H157" s="642"/>
      <c r="I157" s="617"/>
      <c r="J157" s="617"/>
      <c r="K157" s="1686">
        <f>H157</f>
        <v>0</v>
      </c>
      <c r="L157" s="467">
        <v>0</v>
      </c>
      <c r="M157" s="620"/>
      <c r="N157" s="620"/>
    </row>
    <row r="158" spans="1:14" s="621" customFormat="1" ht="12" x14ac:dyDescent="0.2">
      <c r="A158" s="1842" t="s">
        <v>322</v>
      </c>
      <c r="B158" s="1843" t="s">
        <v>1954</v>
      </c>
      <c r="C158" s="617"/>
      <c r="D158" s="617"/>
      <c r="E158" s="617"/>
      <c r="F158" s="617"/>
      <c r="G158" s="617"/>
      <c r="H158" s="467"/>
      <c r="I158" s="617"/>
      <c r="J158" s="617"/>
      <c r="K158" s="1686">
        <f>H158</f>
        <v>0</v>
      </c>
      <c r="L158" s="467">
        <v>0</v>
      </c>
      <c r="M158" s="620"/>
      <c r="N158" s="620"/>
    </row>
    <row r="159" spans="1:14" s="621" customFormat="1" ht="12" x14ac:dyDescent="0.2">
      <c r="A159" s="1842" t="s">
        <v>1955</v>
      </c>
      <c r="B159" s="1843" t="s">
        <v>579</v>
      </c>
      <c r="C159" s="617"/>
      <c r="D159" s="617"/>
      <c r="E159" s="617"/>
      <c r="F159" s="617"/>
      <c r="G159" s="617"/>
      <c r="H159" s="467"/>
      <c r="I159" s="617"/>
      <c r="J159" s="617"/>
      <c r="K159" s="1686">
        <f>H159</f>
        <v>0</v>
      </c>
      <c r="L159" s="467">
        <v>0</v>
      </c>
      <c r="M159" s="620"/>
      <c r="N159" s="620"/>
    </row>
    <row r="160" spans="1:14" s="621" customFormat="1" ht="15.75" customHeight="1" thickBot="1" x14ac:dyDescent="0.25">
      <c r="A160" s="1844" t="s">
        <v>1956</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6">
        <f>SUM(C163:J163)</f>
        <v>0</v>
      </c>
      <c r="L163" s="466">
        <v>0</v>
      </c>
    </row>
    <row r="164" spans="1:14" x14ac:dyDescent="0.2">
      <c r="A164" s="1525" t="s">
        <v>90</v>
      </c>
      <c r="B164" s="615">
        <v>5120</v>
      </c>
      <c r="C164" s="617"/>
      <c r="D164" s="617"/>
      <c r="E164" s="617"/>
      <c r="F164" s="617"/>
      <c r="G164" s="617"/>
      <c r="H164" s="466"/>
      <c r="I164" s="617"/>
      <c r="J164" s="617"/>
      <c r="K164" s="1686">
        <f>SUM(C164:J164)</f>
        <v>0</v>
      </c>
      <c r="L164" s="466">
        <v>0</v>
      </c>
    </row>
    <row r="165" spans="1:14" ht="12.75" customHeight="1" x14ac:dyDescent="0.2">
      <c r="A165" s="1525" t="s">
        <v>1232</v>
      </c>
      <c r="B165" s="615" t="s">
        <v>638</v>
      </c>
      <c r="C165" s="617"/>
      <c r="D165" s="617"/>
      <c r="E165" s="617"/>
      <c r="F165" s="617"/>
      <c r="G165" s="617"/>
      <c r="H165" s="466"/>
      <c r="I165" s="617"/>
      <c r="J165" s="617"/>
      <c r="K165" s="1686">
        <f>SUM(C165:J165)</f>
        <v>0</v>
      </c>
      <c r="L165" s="466">
        <v>0</v>
      </c>
    </row>
    <row r="166" spans="1:14" x14ac:dyDescent="0.2">
      <c r="A166" s="1525" t="s">
        <v>91</v>
      </c>
      <c r="B166" s="629" t="s">
        <v>610</v>
      </c>
      <c r="C166" s="617"/>
      <c r="D166" s="617"/>
      <c r="E166" s="617"/>
      <c r="F166" s="617"/>
      <c r="G166" s="617"/>
      <c r="H166" s="466"/>
      <c r="I166" s="617"/>
      <c r="J166" s="617"/>
      <c r="K166" s="1686">
        <f>SUM(C166:J166)</f>
        <v>0</v>
      </c>
      <c r="L166" s="466">
        <v>0</v>
      </c>
    </row>
    <row r="167" spans="1:14" ht="12.75" customHeight="1" x14ac:dyDescent="0.2">
      <c r="A167" s="1525" t="s">
        <v>640</v>
      </c>
      <c r="B167" s="615" t="s">
        <v>639</v>
      </c>
      <c r="C167" s="617"/>
      <c r="D167" s="617"/>
      <c r="E167" s="617"/>
      <c r="F167" s="617"/>
      <c r="G167" s="617"/>
      <c r="H167" s="466"/>
      <c r="I167" s="617"/>
      <c r="J167" s="617"/>
      <c r="K167" s="1686">
        <f>SUM(C167:J167)</f>
        <v>0</v>
      </c>
      <c r="L167" s="466">
        <v>0</v>
      </c>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c r="I169" s="617"/>
      <c r="J169" s="617"/>
      <c r="K169" s="1686">
        <f>SUM(C169:H169)</f>
        <v>0</v>
      </c>
      <c r="L169" s="657">
        <v>0</v>
      </c>
    </row>
    <row r="170" spans="1:14" ht="33.75" customHeight="1" x14ac:dyDescent="0.2">
      <c r="A170" s="670" t="s">
        <v>1769</v>
      </c>
      <c r="B170" s="672" t="s">
        <v>31</v>
      </c>
      <c r="C170" s="617"/>
      <c r="D170" s="617"/>
      <c r="E170" s="617"/>
      <c r="F170" s="617"/>
      <c r="G170" s="617"/>
      <c r="H170" s="569"/>
      <c r="I170" s="617"/>
      <c r="J170" s="617"/>
      <c r="K170" s="1686">
        <f>SUM(C170:J170)</f>
        <v>0</v>
      </c>
      <c r="L170" s="569">
        <v>0</v>
      </c>
    </row>
    <row r="171" spans="1:14" ht="15.75" customHeight="1" x14ac:dyDescent="0.2">
      <c r="A171" s="622" t="s">
        <v>790</v>
      </c>
      <c r="B171" s="673" t="s">
        <v>86</v>
      </c>
      <c r="C171" s="617"/>
      <c r="D171" s="617"/>
      <c r="E171" s="466"/>
      <c r="F171" s="617"/>
      <c r="G171" s="617"/>
      <c r="H171" s="569"/>
      <c r="I171" s="477"/>
      <c r="J171" s="617"/>
      <c r="K171" s="1686">
        <f>SUM(C171:J171)</f>
        <v>0</v>
      </c>
      <c r="L171" s="569">
        <v>0</v>
      </c>
    </row>
    <row r="172" spans="1:14" ht="12.75" customHeight="1" thickBot="1" x14ac:dyDescent="0.25">
      <c r="A172" s="1683" t="s">
        <v>659</v>
      </c>
      <c r="B172" s="1684" t="s">
        <v>513</v>
      </c>
      <c r="C172" s="617"/>
      <c r="D172" s="617"/>
      <c r="E172" s="1692">
        <f>SUM(E168,E169,E170,E171)</f>
        <v>0</v>
      </c>
      <c r="F172" s="617"/>
      <c r="G172" s="617"/>
      <c r="H172" s="1692">
        <f>SUM(H168,H169,H170,H171)</f>
        <v>0</v>
      </c>
      <c r="I172" s="639"/>
      <c r="J172" s="617"/>
      <c r="K172" s="1692">
        <f>SUM(K168,K169,K170,K171)</f>
        <v>0</v>
      </c>
      <c r="L172" s="1692">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4" t="s">
        <v>92</v>
      </c>
      <c r="B174" s="1705"/>
      <c r="C174" s="617"/>
      <c r="D174" s="617"/>
      <c r="E174" s="1692">
        <f>SUM(E155,E172,E173)</f>
        <v>0</v>
      </c>
      <c r="F174" s="617"/>
      <c r="G174" s="617"/>
      <c r="H174" s="1692">
        <f>SUM(H160,H172,H173)</f>
        <v>0</v>
      </c>
      <c r="I174" s="639"/>
      <c r="J174" s="617"/>
      <c r="K174" s="1692">
        <f>SUM(K160,K172,K173)</f>
        <v>0</v>
      </c>
      <c r="L174" s="1692">
        <f>SUM(L160,L172,L173)</f>
        <v>0</v>
      </c>
    </row>
    <row r="175" spans="1:14" ht="13.5" thickTop="1" x14ac:dyDescent="0.2">
      <c r="A175" s="2231" t="s">
        <v>1053</v>
      </c>
      <c r="B175" s="2232"/>
      <c r="C175" s="617"/>
      <c r="D175" s="617"/>
      <c r="E175" s="617"/>
      <c r="F175" s="617"/>
      <c r="G175" s="617"/>
      <c r="H175" s="619"/>
      <c r="I175" s="617"/>
      <c r="J175" s="617"/>
      <c r="K175" s="1699">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6">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c r="F182" s="466"/>
      <c r="G182" s="466"/>
      <c r="H182" s="466"/>
      <c r="I182" s="467"/>
      <c r="J182" s="467"/>
      <c r="K182" s="1686">
        <f>SUM(C182:J182)</f>
        <v>0</v>
      </c>
      <c r="L182" s="466">
        <v>0</v>
      </c>
    </row>
    <row r="183" spans="1:14" ht="12.75" customHeight="1" thickBot="1" x14ac:dyDescent="0.25">
      <c r="A183" s="1530" t="s">
        <v>1037</v>
      </c>
      <c r="B183" s="678">
        <v>2900</v>
      </c>
      <c r="C183" s="573"/>
      <c r="D183" s="573"/>
      <c r="E183" s="573"/>
      <c r="F183" s="573"/>
      <c r="G183" s="573"/>
      <c r="H183" s="573"/>
      <c r="I183" s="532"/>
      <c r="J183" s="532"/>
      <c r="K183" s="1692">
        <f>SUM(C183:J183)</f>
        <v>0</v>
      </c>
      <c r="L183" s="573">
        <v>0</v>
      </c>
    </row>
    <row r="184" spans="1:14" ht="12.75" customHeight="1" thickTop="1" thickBot="1" x14ac:dyDescent="0.25">
      <c r="A184" s="1706" t="s">
        <v>865</v>
      </c>
      <c r="B184" s="1684" t="s">
        <v>590</v>
      </c>
      <c r="C184" s="1692">
        <f>SUM(C180,C182,C183)</f>
        <v>0</v>
      </c>
      <c r="D184" s="1692">
        <f t="shared" ref="D184:J184" si="17">SUM(D180,D182,D183)</f>
        <v>0</v>
      </c>
      <c r="E184" s="1692">
        <f t="shared" si="17"/>
        <v>0</v>
      </c>
      <c r="F184" s="1692">
        <f t="shared" si="17"/>
        <v>0</v>
      </c>
      <c r="G184" s="1692">
        <f t="shared" si="17"/>
        <v>0</v>
      </c>
      <c r="H184" s="1692">
        <f t="shared" si="17"/>
        <v>0</v>
      </c>
      <c r="I184" s="1692">
        <f t="shared" si="17"/>
        <v>0</v>
      </c>
      <c r="J184" s="1692">
        <f t="shared" si="17"/>
        <v>0</v>
      </c>
      <c r="K184" s="1692">
        <f>SUM(K180,K182,K183)</f>
        <v>0</v>
      </c>
      <c r="L184" s="1692">
        <f>SUM(L180, L182:L183)</f>
        <v>0</v>
      </c>
    </row>
    <row r="185" spans="1:14" ht="15.75" customHeight="1" thickTop="1" thickBot="1" x14ac:dyDescent="0.25">
      <c r="A185" s="1643" t="s">
        <v>996</v>
      </c>
      <c r="B185" s="1632">
        <v>3000</v>
      </c>
      <c r="C185" s="576"/>
      <c r="D185" s="576"/>
      <c r="E185" s="576"/>
      <c r="F185" s="576"/>
      <c r="G185" s="576"/>
      <c r="H185" s="576"/>
      <c r="I185" s="531"/>
      <c r="J185" s="531"/>
      <c r="K185" s="1685">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6">
        <f t="shared" ref="K188:K193" si="18">SUM(E188,H188)</f>
        <v>0</v>
      </c>
      <c r="L188" s="466">
        <v>0</v>
      </c>
    </row>
    <row r="189" spans="1:14" x14ac:dyDescent="0.2">
      <c r="A189" s="1525" t="s">
        <v>322</v>
      </c>
      <c r="B189" s="615">
        <v>4120</v>
      </c>
      <c r="C189" s="617"/>
      <c r="D189" s="617"/>
      <c r="E189" s="466"/>
      <c r="F189" s="617"/>
      <c r="G189" s="617"/>
      <c r="H189" s="466"/>
      <c r="I189" s="477"/>
      <c r="J189" s="617"/>
      <c r="K189" s="1686">
        <f t="shared" si="18"/>
        <v>0</v>
      </c>
      <c r="L189" s="466">
        <v>0</v>
      </c>
    </row>
    <row r="190" spans="1:14" x14ac:dyDescent="0.2">
      <c r="A190" s="1525" t="s">
        <v>323</v>
      </c>
      <c r="B190" s="629">
        <v>4130</v>
      </c>
      <c r="C190" s="617"/>
      <c r="D190" s="617"/>
      <c r="E190" s="466"/>
      <c r="F190" s="617"/>
      <c r="G190" s="617"/>
      <c r="H190" s="466"/>
      <c r="I190" s="477"/>
      <c r="J190" s="617"/>
      <c r="K190" s="1686">
        <f t="shared" si="18"/>
        <v>0</v>
      </c>
      <c r="L190" s="466">
        <v>0</v>
      </c>
    </row>
    <row r="191" spans="1:14" x14ac:dyDescent="0.2">
      <c r="A191" s="1525" t="s">
        <v>721</v>
      </c>
      <c r="B191" s="615">
        <v>4140</v>
      </c>
      <c r="C191" s="617"/>
      <c r="D191" s="617"/>
      <c r="E191" s="466"/>
      <c r="F191" s="617"/>
      <c r="G191" s="617"/>
      <c r="H191" s="466"/>
      <c r="I191" s="477"/>
      <c r="J191" s="617"/>
      <c r="K191" s="1686">
        <f t="shared" si="18"/>
        <v>0</v>
      </c>
      <c r="L191" s="466">
        <v>0</v>
      </c>
    </row>
    <row r="192" spans="1:14" x14ac:dyDescent="0.2">
      <c r="A192" s="1525" t="s">
        <v>88</v>
      </c>
      <c r="B192" s="615">
        <v>4170</v>
      </c>
      <c r="C192" s="617"/>
      <c r="D192" s="617"/>
      <c r="E192" s="466"/>
      <c r="F192" s="617"/>
      <c r="G192" s="617"/>
      <c r="H192" s="466"/>
      <c r="I192" s="477"/>
      <c r="J192" s="617"/>
      <c r="K192" s="1686">
        <f t="shared" si="18"/>
        <v>0</v>
      </c>
      <c r="L192" s="466">
        <v>0</v>
      </c>
    </row>
    <row r="193" spans="1:14" x14ac:dyDescent="0.2">
      <c r="A193" s="1529" t="s">
        <v>722</v>
      </c>
      <c r="B193" s="629">
        <v>4190</v>
      </c>
      <c r="C193" s="617"/>
      <c r="D193" s="617"/>
      <c r="E193" s="466"/>
      <c r="F193" s="617"/>
      <c r="G193" s="617"/>
      <c r="H193" s="466"/>
      <c r="I193" s="477"/>
      <c r="J193" s="617"/>
      <c r="K193" s="1686">
        <f t="shared" si="18"/>
        <v>0</v>
      </c>
      <c r="L193" s="466">
        <v>0</v>
      </c>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c r="F195" s="617"/>
      <c r="G195" s="617"/>
      <c r="H195" s="657"/>
      <c r="I195" s="477"/>
      <c r="J195" s="617"/>
      <c r="K195" s="1700">
        <f>SUM(E195,H195)</f>
        <v>0</v>
      </c>
      <c r="L195" s="657">
        <v>0</v>
      </c>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6">
        <f>SUM(H199)</f>
        <v>0</v>
      </c>
      <c r="L199" s="466">
        <v>0</v>
      </c>
    </row>
    <row r="200" spans="1:14" x14ac:dyDescent="0.2">
      <c r="A200" s="1525" t="s">
        <v>90</v>
      </c>
      <c r="B200" s="615">
        <v>5120</v>
      </c>
      <c r="C200" s="617"/>
      <c r="D200" s="617"/>
      <c r="E200" s="617"/>
      <c r="F200" s="617"/>
      <c r="G200" s="617"/>
      <c r="H200" s="466"/>
      <c r="I200" s="617"/>
      <c r="J200" s="617"/>
      <c r="K200" s="1686">
        <f>SUM(H200)</f>
        <v>0</v>
      </c>
      <c r="L200" s="466">
        <v>0</v>
      </c>
    </row>
    <row r="201" spans="1:14" ht="12.75" customHeight="1" x14ac:dyDescent="0.2">
      <c r="A201" s="1525" t="s">
        <v>1232</v>
      </c>
      <c r="B201" s="629" t="s">
        <v>638</v>
      </c>
      <c r="C201" s="617"/>
      <c r="D201" s="617"/>
      <c r="E201" s="617"/>
      <c r="F201" s="617"/>
      <c r="G201" s="617"/>
      <c r="H201" s="466"/>
      <c r="I201" s="617"/>
      <c r="J201" s="617"/>
      <c r="K201" s="1686">
        <f>SUM(H201)</f>
        <v>0</v>
      </c>
      <c r="L201" s="466">
        <v>0</v>
      </c>
    </row>
    <row r="202" spans="1:14" x14ac:dyDescent="0.2">
      <c r="A202" s="1525" t="s">
        <v>91</v>
      </c>
      <c r="B202" s="615" t="s">
        <v>610</v>
      </c>
      <c r="C202" s="617"/>
      <c r="D202" s="617"/>
      <c r="E202" s="617"/>
      <c r="F202" s="617"/>
      <c r="G202" s="617"/>
      <c r="H202" s="466"/>
      <c r="I202" s="617"/>
      <c r="J202" s="617"/>
      <c r="K202" s="1686">
        <f>SUM(H202)</f>
        <v>0</v>
      </c>
      <c r="L202" s="466">
        <v>0</v>
      </c>
    </row>
    <row r="203" spans="1:14" x14ac:dyDescent="0.2">
      <c r="A203" s="1537" t="s">
        <v>640</v>
      </c>
      <c r="B203" s="615" t="s">
        <v>639</v>
      </c>
      <c r="C203" s="617"/>
      <c r="D203" s="617"/>
      <c r="E203" s="617"/>
      <c r="F203" s="617"/>
      <c r="G203" s="617"/>
      <c r="H203" s="471"/>
      <c r="I203" s="617"/>
      <c r="J203" s="617"/>
      <c r="K203" s="1686">
        <f>SUM(H203)</f>
        <v>0</v>
      </c>
      <c r="L203" s="471">
        <v>0</v>
      </c>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v>0</v>
      </c>
    </row>
    <row r="206" spans="1:14" ht="30" customHeight="1" x14ac:dyDescent="0.2">
      <c r="A206" s="682" t="s">
        <v>1770</v>
      </c>
      <c r="B206" s="673" t="s">
        <v>31</v>
      </c>
      <c r="C206" s="617"/>
      <c r="D206" s="617"/>
      <c r="E206" s="617"/>
      <c r="F206" s="617"/>
      <c r="G206" s="617"/>
      <c r="H206" s="466"/>
      <c r="I206" s="617"/>
      <c r="J206" s="617"/>
      <c r="K206" s="1686">
        <f>SUM(H206)</f>
        <v>0</v>
      </c>
      <c r="L206" s="466">
        <v>0</v>
      </c>
    </row>
    <row r="207" spans="1:14" ht="15.75" customHeight="1" x14ac:dyDescent="0.2">
      <c r="A207" s="622" t="s">
        <v>790</v>
      </c>
      <c r="B207" s="673" t="s">
        <v>86</v>
      </c>
      <c r="C207" s="617"/>
      <c r="D207" s="617"/>
      <c r="E207" s="617"/>
      <c r="F207" s="617"/>
      <c r="G207" s="617"/>
      <c r="H207" s="467"/>
      <c r="I207" s="617"/>
      <c r="J207" s="617"/>
      <c r="K207" s="1686">
        <f>H207</f>
        <v>0</v>
      </c>
      <c r="L207" s="466">
        <v>0</v>
      </c>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07" t="s">
        <v>295</v>
      </c>
      <c r="B210" s="1708"/>
      <c r="C210" s="1685">
        <f>SUM(C184,C185)</f>
        <v>0</v>
      </c>
      <c r="D210" s="1685">
        <f>SUM(D184,D185)</f>
        <v>0</v>
      </c>
      <c r="E210" s="1685">
        <f>SUM(E184,E185,E196)</f>
        <v>0</v>
      </c>
      <c r="F210" s="1685">
        <f>SUM(F184,F185)</f>
        <v>0</v>
      </c>
      <c r="G210" s="1685">
        <f>SUM(G184,G185)</f>
        <v>0</v>
      </c>
      <c r="H210" s="1685">
        <f>SUM(H184,H185,H196,H208,H209)</f>
        <v>0</v>
      </c>
      <c r="I210" s="1685">
        <f>SUM(I184,I185)</f>
        <v>0</v>
      </c>
      <c r="J210" s="1685">
        <f>SUM(J184,J185)</f>
        <v>0</v>
      </c>
      <c r="K210" s="1686">
        <f>SUM(K184,K185,K196,K208,K209)</f>
        <v>0</v>
      </c>
      <c r="L210" s="1685">
        <f>SUM(L184,L185,L196,L208,L209)</f>
        <v>0</v>
      </c>
    </row>
    <row r="211" spans="1:14" ht="13.5" thickTop="1" x14ac:dyDescent="0.2">
      <c r="A211" s="2231" t="s">
        <v>1053</v>
      </c>
      <c r="B211" s="2232"/>
      <c r="C211" s="619"/>
      <c r="D211" s="619"/>
      <c r="E211" s="619"/>
      <c r="F211" s="619"/>
      <c r="G211" s="619"/>
      <c r="H211" s="619"/>
      <c r="I211" s="617"/>
      <c r="J211" s="617"/>
      <c r="K211" s="1699">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1022</v>
      </c>
      <c r="B213" s="2227"/>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c r="E215" s="617"/>
      <c r="F215" s="617"/>
      <c r="G215" s="617"/>
      <c r="H215" s="617"/>
      <c r="I215" s="617"/>
      <c r="J215" s="617"/>
      <c r="K215" s="1686">
        <f>D215</f>
        <v>0</v>
      </c>
      <c r="L215" s="466">
        <v>0</v>
      </c>
    </row>
    <row r="216" spans="1:14" x14ac:dyDescent="0.2">
      <c r="A216" s="1525" t="s">
        <v>165</v>
      </c>
      <c r="B216" s="615" t="s">
        <v>1024</v>
      </c>
      <c r="C216" s="617"/>
      <c r="D216" s="467"/>
      <c r="E216" s="617"/>
      <c r="F216" s="617"/>
      <c r="G216" s="617"/>
      <c r="H216" s="617"/>
      <c r="I216" s="617"/>
      <c r="J216" s="617"/>
      <c r="K216" s="1686">
        <f t="shared" ref="K216:K228" si="19">D216</f>
        <v>0</v>
      </c>
      <c r="L216" s="466">
        <v>0</v>
      </c>
    </row>
    <row r="217" spans="1:14" x14ac:dyDescent="0.2">
      <c r="A217" s="1525" t="s">
        <v>166</v>
      </c>
      <c r="B217" s="615">
        <v>1200</v>
      </c>
      <c r="C217" s="617"/>
      <c r="D217" s="466"/>
      <c r="E217" s="617"/>
      <c r="F217" s="617"/>
      <c r="G217" s="617"/>
      <c r="H217" s="617"/>
      <c r="I217" s="617"/>
      <c r="J217" s="617"/>
      <c r="K217" s="1686">
        <f t="shared" si="19"/>
        <v>0</v>
      </c>
      <c r="L217" s="466">
        <v>0</v>
      </c>
    </row>
    <row r="218" spans="1:14" x14ac:dyDescent="0.2">
      <c r="A218" s="1525" t="s">
        <v>296</v>
      </c>
      <c r="B218" s="615" t="s">
        <v>1025</v>
      </c>
      <c r="C218" s="617"/>
      <c r="D218" s="467"/>
      <c r="E218" s="617"/>
      <c r="F218" s="617"/>
      <c r="G218" s="617"/>
      <c r="H218" s="617"/>
      <c r="I218" s="617"/>
      <c r="J218" s="617"/>
      <c r="K218" s="1686">
        <f t="shared" si="19"/>
        <v>0</v>
      </c>
      <c r="L218" s="466">
        <v>0</v>
      </c>
    </row>
    <row r="219" spans="1:14" x14ac:dyDescent="0.2">
      <c r="A219" s="1525" t="s">
        <v>297</v>
      </c>
      <c r="B219" s="615">
        <v>1250</v>
      </c>
      <c r="C219" s="617"/>
      <c r="D219" s="466"/>
      <c r="E219" s="617"/>
      <c r="F219" s="617"/>
      <c r="G219" s="617"/>
      <c r="H219" s="617"/>
      <c r="I219" s="617"/>
      <c r="J219" s="617"/>
      <c r="K219" s="1686">
        <f t="shared" si="19"/>
        <v>0</v>
      </c>
      <c r="L219" s="466">
        <v>0</v>
      </c>
    </row>
    <row r="220" spans="1:14" x14ac:dyDescent="0.2">
      <c r="A220" s="1525" t="s">
        <v>298</v>
      </c>
      <c r="B220" s="615" t="s">
        <v>163</v>
      </c>
      <c r="C220" s="617"/>
      <c r="D220" s="467"/>
      <c r="E220" s="617"/>
      <c r="F220" s="617"/>
      <c r="G220" s="617"/>
      <c r="H220" s="617"/>
      <c r="I220" s="617"/>
      <c r="J220" s="617"/>
      <c r="K220" s="1686">
        <f t="shared" si="19"/>
        <v>0</v>
      </c>
      <c r="L220" s="466">
        <v>0</v>
      </c>
    </row>
    <row r="221" spans="1:14" x14ac:dyDescent="0.2">
      <c r="A221" s="1525" t="s">
        <v>1019</v>
      </c>
      <c r="B221" s="615">
        <v>1300</v>
      </c>
      <c r="C221" s="617"/>
      <c r="D221" s="466"/>
      <c r="E221" s="617"/>
      <c r="F221" s="617"/>
      <c r="G221" s="617"/>
      <c r="H221" s="617"/>
      <c r="I221" s="617"/>
      <c r="J221" s="617"/>
      <c r="K221" s="1686">
        <f t="shared" si="19"/>
        <v>0</v>
      </c>
      <c r="L221" s="466">
        <v>0</v>
      </c>
    </row>
    <row r="222" spans="1:14" x14ac:dyDescent="0.2">
      <c r="A222" s="1525" t="s">
        <v>747</v>
      </c>
      <c r="B222" s="615">
        <v>1400</v>
      </c>
      <c r="C222" s="617"/>
      <c r="D222" s="466"/>
      <c r="E222" s="617"/>
      <c r="F222" s="617"/>
      <c r="G222" s="617"/>
      <c r="H222" s="617"/>
      <c r="I222" s="617"/>
      <c r="J222" s="617"/>
      <c r="K222" s="1686">
        <f t="shared" si="19"/>
        <v>0</v>
      </c>
      <c r="L222" s="466">
        <v>0</v>
      </c>
    </row>
    <row r="223" spans="1:14" x14ac:dyDescent="0.2">
      <c r="A223" s="1525" t="s">
        <v>1020</v>
      </c>
      <c r="B223" s="615">
        <v>1500</v>
      </c>
      <c r="C223" s="617"/>
      <c r="D223" s="466"/>
      <c r="E223" s="617"/>
      <c r="F223" s="617"/>
      <c r="G223" s="617"/>
      <c r="H223" s="617"/>
      <c r="I223" s="617"/>
      <c r="J223" s="617"/>
      <c r="K223" s="1686">
        <f t="shared" si="19"/>
        <v>0</v>
      </c>
      <c r="L223" s="466">
        <v>0</v>
      </c>
    </row>
    <row r="224" spans="1:14" x14ac:dyDescent="0.2">
      <c r="A224" s="1525" t="s">
        <v>1021</v>
      </c>
      <c r="B224" s="615">
        <v>1600</v>
      </c>
      <c r="C224" s="617"/>
      <c r="D224" s="466"/>
      <c r="E224" s="617"/>
      <c r="F224" s="617"/>
      <c r="G224" s="617"/>
      <c r="H224" s="617"/>
      <c r="I224" s="617"/>
      <c r="J224" s="617"/>
      <c r="K224" s="1686">
        <f t="shared" si="19"/>
        <v>0</v>
      </c>
      <c r="L224" s="466">
        <v>0</v>
      </c>
    </row>
    <row r="225" spans="1:12" x14ac:dyDescent="0.2">
      <c r="A225" s="1525" t="s">
        <v>1044</v>
      </c>
      <c r="B225" s="615">
        <v>1650</v>
      </c>
      <c r="C225" s="617"/>
      <c r="D225" s="466"/>
      <c r="E225" s="617"/>
      <c r="F225" s="617"/>
      <c r="G225" s="617"/>
      <c r="H225" s="617"/>
      <c r="I225" s="617"/>
      <c r="J225" s="617"/>
      <c r="K225" s="1686">
        <f t="shared" si="19"/>
        <v>0</v>
      </c>
      <c r="L225" s="466">
        <v>0</v>
      </c>
    </row>
    <row r="226" spans="1:12" x14ac:dyDescent="0.2">
      <c r="A226" s="1525" t="s">
        <v>748</v>
      </c>
      <c r="B226" s="615" t="s">
        <v>164</v>
      </c>
      <c r="C226" s="617"/>
      <c r="D226" s="467"/>
      <c r="E226" s="617"/>
      <c r="F226" s="617"/>
      <c r="G226" s="617"/>
      <c r="H226" s="617"/>
      <c r="I226" s="617"/>
      <c r="J226" s="617"/>
      <c r="K226" s="1686">
        <f t="shared" si="19"/>
        <v>0</v>
      </c>
      <c r="L226" s="466">
        <v>0</v>
      </c>
    </row>
    <row r="227" spans="1:12" x14ac:dyDescent="0.2">
      <c r="A227" s="1525" t="s">
        <v>1148</v>
      </c>
      <c r="B227" s="615">
        <v>1800</v>
      </c>
      <c r="C227" s="617"/>
      <c r="D227" s="466"/>
      <c r="E227" s="617"/>
      <c r="F227" s="617"/>
      <c r="G227" s="617"/>
      <c r="H227" s="617"/>
      <c r="I227" s="617"/>
      <c r="J227" s="617"/>
      <c r="K227" s="1686">
        <f t="shared" si="19"/>
        <v>0</v>
      </c>
      <c r="L227" s="466">
        <v>0</v>
      </c>
    </row>
    <row r="228" spans="1:12" x14ac:dyDescent="0.2">
      <c r="A228" s="1525" t="s">
        <v>1149</v>
      </c>
      <c r="B228" s="615">
        <v>1900</v>
      </c>
      <c r="C228" s="617"/>
      <c r="D228" s="466"/>
      <c r="E228" s="617"/>
      <c r="F228" s="617"/>
      <c r="G228" s="617"/>
      <c r="H228" s="617"/>
      <c r="I228" s="617"/>
      <c r="J228" s="617"/>
      <c r="K228" s="1686">
        <f t="shared" si="19"/>
        <v>0</v>
      </c>
      <c r="L228" s="466">
        <v>0</v>
      </c>
    </row>
    <row r="229" spans="1:12" ht="12.75" customHeight="1" thickBot="1" x14ac:dyDescent="0.25">
      <c r="A229" s="1683" t="s">
        <v>739</v>
      </c>
      <c r="B229" s="1690" t="s">
        <v>591</v>
      </c>
      <c r="C229" s="617"/>
      <c r="D229" s="1685">
        <f>SUM(D215:D228)</f>
        <v>0</v>
      </c>
      <c r="E229" s="617"/>
      <c r="F229" s="617"/>
      <c r="G229" s="617"/>
      <c r="H229" s="617"/>
      <c r="I229" s="617"/>
      <c r="J229" s="617"/>
      <c r="K229" s="1685">
        <f>SUM(K215:K228)</f>
        <v>0</v>
      </c>
      <c r="L229" s="1685">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86">
        <f t="shared" ref="K232:K237" si="20">D232</f>
        <v>0</v>
      </c>
      <c r="L232" s="466">
        <v>0</v>
      </c>
    </row>
    <row r="233" spans="1:12" x14ac:dyDescent="0.2">
      <c r="A233" s="1525" t="s">
        <v>1151</v>
      </c>
      <c r="B233" s="615">
        <v>2120</v>
      </c>
      <c r="C233" s="617"/>
      <c r="D233" s="466"/>
      <c r="E233" s="617"/>
      <c r="F233" s="617"/>
      <c r="G233" s="617"/>
      <c r="H233" s="617"/>
      <c r="I233" s="617"/>
      <c r="J233" s="617"/>
      <c r="K233" s="1686">
        <f t="shared" si="20"/>
        <v>0</v>
      </c>
      <c r="L233" s="466">
        <v>0</v>
      </c>
    </row>
    <row r="234" spans="1:12" x14ac:dyDescent="0.2">
      <c r="A234" s="1525" t="s">
        <v>207</v>
      </c>
      <c r="B234" s="615">
        <v>2130</v>
      </c>
      <c r="C234" s="617"/>
      <c r="D234" s="466"/>
      <c r="E234" s="617"/>
      <c r="F234" s="617"/>
      <c r="G234" s="617"/>
      <c r="H234" s="617"/>
      <c r="I234" s="617"/>
      <c r="J234" s="617"/>
      <c r="K234" s="1686">
        <f t="shared" si="20"/>
        <v>0</v>
      </c>
      <c r="L234" s="466">
        <v>0</v>
      </c>
    </row>
    <row r="235" spans="1:12" x14ac:dyDescent="0.2">
      <c r="A235" s="1525" t="s">
        <v>208</v>
      </c>
      <c r="B235" s="615">
        <v>2140</v>
      </c>
      <c r="C235" s="617"/>
      <c r="D235" s="466"/>
      <c r="E235" s="617"/>
      <c r="F235" s="617"/>
      <c r="G235" s="617"/>
      <c r="H235" s="617"/>
      <c r="I235" s="617"/>
      <c r="J235" s="617"/>
      <c r="K235" s="1686">
        <f t="shared" si="20"/>
        <v>0</v>
      </c>
      <c r="L235" s="466">
        <v>0</v>
      </c>
    </row>
    <row r="236" spans="1:12" x14ac:dyDescent="0.2">
      <c r="A236" s="1525" t="s">
        <v>209</v>
      </c>
      <c r="B236" s="615">
        <v>2150</v>
      </c>
      <c r="C236" s="617"/>
      <c r="D236" s="466"/>
      <c r="E236" s="617"/>
      <c r="F236" s="617"/>
      <c r="G236" s="617"/>
      <c r="H236" s="617"/>
      <c r="I236" s="617"/>
      <c r="J236" s="617"/>
      <c r="K236" s="1686">
        <f t="shared" si="20"/>
        <v>0</v>
      </c>
      <c r="L236" s="466">
        <v>0</v>
      </c>
    </row>
    <row r="237" spans="1:12" x14ac:dyDescent="0.2">
      <c r="A237" s="1525" t="s">
        <v>167</v>
      </c>
      <c r="B237" s="615">
        <v>2190</v>
      </c>
      <c r="C237" s="617"/>
      <c r="D237" s="466"/>
      <c r="E237" s="617"/>
      <c r="F237" s="617"/>
      <c r="G237" s="617"/>
      <c r="H237" s="617"/>
      <c r="I237" s="617"/>
      <c r="J237" s="617"/>
      <c r="K237" s="1686">
        <f t="shared" si="20"/>
        <v>0</v>
      </c>
      <c r="L237" s="466">
        <v>0</v>
      </c>
    </row>
    <row r="238" spans="1:12" ht="12.75" customHeight="1" thickBot="1" x14ac:dyDescent="0.25">
      <c r="A238" s="1683" t="s">
        <v>581</v>
      </c>
      <c r="B238" s="1690" t="s">
        <v>740</v>
      </c>
      <c r="C238" s="617"/>
      <c r="D238" s="1685">
        <f>SUM(D232:D237)</f>
        <v>0</v>
      </c>
      <c r="E238" s="617"/>
      <c r="F238" s="617"/>
      <c r="G238" s="617"/>
      <c r="H238" s="617"/>
      <c r="I238" s="617"/>
      <c r="J238" s="617"/>
      <c r="K238" s="1685">
        <f>SUM(K232:K237)</f>
        <v>0</v>
      </c>
      <c r="L238" s="1685">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87">
        <f>D240</f>
        <v>0</v>
      </c>
      <c r="L240" s="481">
        <v>0</v>
      </c>
    </row>
    <row r="241" spans="1:12" x14ac:dyDescent="0.2">
      <c r="A241" s="1525" t="s">
        <v>869</v>
      </c>
      <c r="B241" s="615">
        <v>2220</v>
      </c>
      <c r="C241" s="617"/>
      <c r="D241" s="466"/>
      <c r="E241" s="617"/>
      <c r="F241" s="617"/>
      <c r="G241" s="617"/>
      <c r="H241" s="617"/>
      <c r="I241" s="617"/>
      <c r="J241" s="617"/>
      <c r="K241" s="1687">
        <f>D241</f>
        <v>0</v>
      </c>
      <c r="L241" s="466">
        <v>0</v>
      </c>
    </row>
    <row r="242" spans="1:12" x14ac:dyDescent="0.2">
      <c r="A242" s="1525" t="s">
        <v>870</v>
      </c>
      <c r="B242" s="615">
        <v>2230</v>
      </c>
      <c r="C242" s="617"/>
      <c r="D242" s="466"/>
      <c r="E242" s="617"/>
      <c r="F242" s="617"/>
      <c r="G242" s="617"/>
      <c r="H242" s="617"/>
      <c r="I242" s="617"/>
      <c r="J242" s="617"/>
      <c r="K242" s="1687">
        <f>D242</f>
        <v>0</v>
      </c>
      <c r="L242" s="466">
        <v>0</v>
      </c>
    </row>
    <row r="243" spans="1:12" ht="12.75" customHeight="1" thickBot="1" x14ac:dyDescent="0.25">
      <c r="A243" s="1709" t="s">
        <v>582</v>
      </c>
      <c r="B243" s="1710">
        <v>2200</v>
      </c>
      <c r="C243" s="617"/>
      <c r="D243" s="1685">
        <f>SUM(D240:D242)</f>
        <v>0</v>
      </c>
      <c r="E243" s="617"/>
      <c r="F243" s="617"/>
      <c r="G243" s="617"/>
      <c r="H243" s="617"/>
      <c r="I243" s="617"/>
      <c r="J243" s="617"/>
      <c r="K243" s="1685">
        <f>SUM(K240:K242)</f>
        <v>0</v>
      </c>
      <c r="L243" s="1685">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87">
        <f>D245</f>
        <v>0</v>
      </c>
      <c r="L245" s="481">
        <v>0</v>
      </c>
    </row>
    <row r="246" spans="1:12" x14ac:dyDescent="0.2">
      <c r="A246" s="1525" t="s">
        <v>872</v>
      </c>
      <c r="B246" s="615">
        <v>2320</v>
      </c>
      <c r="C246" s="617"/>
      <c r="D246" s="466"/>
      <c r="E246" s="617"/>
      <c r="F246" s="617"/>
      <c r="G246" s="617"/>
      <c r="H246" s="617"/>
      <c r="I246" s="617"/>
      <c r="J246" s="617"/>
      <c r="K246" s="1687">
        <f t="shared" ref="K246:K256" si="21">D246</f>
        <v>0</v>
      </c>
      <c r="L246" s="466">
        <v>0</v>
      </c>
    </row>
    <row r="247" spans="1:12" x14ac:dyDescent="0.2">
      <c r="A247" s="1525" t="s">
        <v>873</v>
      </c>
      <c r="B247" s="615">
        <v>2330</v>
      </c>
      <c r="C247" s="617"/>
      <c r="D247" s="466"/>
      <c r="E247" s="617"/>
      <c r="F247" s="617"/>
      <c r="G247" s="617"/>
      <c r="H247" s="617"/>
      <c r="I247" s="617"/>
      <c r="J247" s="617"/>
      <c r="K247" s="1687">
        <f t="shared" si="21"/>
        <v>0</v>
      </c>
      <c r="L247" s="466">
        <v>0</v>
      </c>
    </row>
    <row r="248" spans="1:12" x14ac:dyDescent="0.2">
      <c r="A248" s="1526" t="s">
        <v>317</v>
      </c>
      <c r="B248" s="603" t="s">
        <v>299</v>
      </c>
      <c r="C248" s="617"/>
      <c r="D248" s="474"/>
      <c r="E248" s="617"/>
      <c r="F248" s="617"/>
      <c r="G248" s="617"/>
      <c r="H248" s="617"/>
      <c r="I248" s="617"/>
      <c r="J248" s="617"/>
      <c r="K248" s="1687">
        <f t="shared" si="21"/>
        <v>0</v>
      </c>
      <c r="L248" s="466">
        <v>0</v>
      </c>
    </row>
    <row r="249" spans="1:12" x14ac:dyDescent="0.2">
      <c r="A249" s="1527" t="s">
        <v>1904</v>
      </c>
      <c r="B249" s="684" t="s">
        <v>300</v>
      </c>
      <c r="C249" s="617"/>
      <c r="D249" s="474"/>
      <c r="E249" s="617"/>
      <c r="F249" s="617"/>
      <c r="G249" s="617"/>
      <c r="H249" s="617"/>
      <c r="I249" s="617"/>
      <c r="J249" s="617"/>
      <c r="K249" s="1687">
        <f t="shared" si="21"/>
        <v>0</v>
      </c>
      <c r="L249" s="466">
        <v>0</v>
      </c>
    </row>
    <row r="250" spans="1:12" x14ac:dyDescent="0.2">
      <c r="A250" s="1526" t="s">
        <v>1905</v>
      </c>
      <c r="B250" s="603" t="s">
        <v>301</v>
      </c>
      <c r="C250" s="617"/>
      <c r="D250" s="474"/>
      <c r="E250" s="617"/>
      <c r="F250" s="617"/>
      <c r="G250" s="617"/>
      <c r="H250" s="617"/>
      <c r="I250" s="617"/>
      <c r="J250" s="617"/>
      <c r="K250" s="1687">
        <f t="shared" si="21"/>
        <v>0</v>
      </c>
      <c r="L250" s="466">
        <v>0</v>
      </c>
    </row>
    <row r="251" spans="1:12" x14ac:dyDescent="0.2">
      <c r="A251" s="1526" t="s">
        <v>256</v>
      </c>
      <c r="B251" s="603" t="s">
        <v>302</v>
      </c>
      <c r="C251" s="617"/>
      <c r="D251" s="474"/>
      <c r="E251" s="617"/>
      <c r="F251" s="617"/>
      <c r="G251" s="617"/>
      <c r="H251" s="617"/>
      <c r="I251" s="617"/>
      <c r="J251" s="617"/>
      <c r="K251" s="1687">
        <f t="shared" si="21"/>
        <v>0</v>
      </c>
      <c r="L251" s="466">
        <v>0</v>
      </c>
    </row>
    <row r="252" spans="1:12" x14ac:dyDescent="0.2">
      <c r="A252" s="1526" t="s">
        <v>726</v>
      </c>
      <c r="B252" s="603" t="s">
        <v>303</v>
      </c>
      <c r="C252" s="617"/>
      <c r="D252" s="474"/>
      <c r="E252" s="617"/>
      <c r="F252" s="617"/>
      <c r="G252" s="617"/>
      <c r="H252" s="617"/>
      <c r="I252" s="617"/>
      <c r="J252" s="617"/>
      <c r="K252" s="1687">
        <f t="shared" si="21"/>
        <v>0</v>
      </c>
      <c r="L252" s="466">
        <v>0</v>
      </c>
    </row>
    <row r="253" spans="1:12" x14ac:dyDescent="0.2">
      <c r="A253" s="1526" t="s">
        <v>257</v>
      </c>
      <c r="B253" s="603" t="s">
        <v>304</v>
      </c>
      <c r="C253" s="617"/>
      <c r="D253" s="474"/>
      <c r="E253" s="617"/>
      <c r="F253" s="617"/>
      <c r="G253" s="617"/>
      <c r="H253" s="617"/>
      <c r="I253" s="617"/>
      <c r="J253" s="617"/>
      <c r="K253" s="1687">
        <f t="shared" si="21"/>
        <v>0</v>
      </c>
      <c r="L253" s="466">
        <v>0</v>
      </c>
    </row>
    <row r="254" spans="1:12" ht="22.5" x14ac:dyDescent="0.2">
      <c r="A254" s="1526" t="s">
        <v>1087</v>
      </c>
      <c r="B254" s="684" t="s">
        <v>305</v>
      </c>
      <c r="C254" s="617"/>
      <c r="D254" s="474"/>
      <c r="E254" s="617"/>
      <c r="F254" s="617"/>
      <c r="G254" s="617"/>
      <c r="H254" s="617"/>
      <c r="I254" s="617"/>
      <c r="J254" s="617"/>
      <c r="K254" s="1687">
        <f t="shared" si="21"/>
        <v>0</v>
      </c>
      <c r="L254" s="466">
        <v>0</v>
      </c>
    </row>
    <row r="255" spans="1:12" x14ac:dyDescent="0.2">
      <c r="A255" s="1526" t="s">
        <v>1088</v>
      </c>
      <c r="B255" s="603" t="s">
        <v>306</v>
      </c>
      <c r="C255" s="617"/>
      <c r="D255" s="474"/>
      <c r="E255" s="617"/>
      <c r="F255" s="617"/>
      <c r="G255" s="617"/>
      <c r="H255" s="617"/>
      <c r="I255" s="617"/>
      <c r="J255" s="617"/>
      <c r="K255" s="1687">
        <f t="shared" si="21"/>
        <v>0</v>
      </c>
      <c r="L255" s="466">
        <v>0</v>
      </c>
    </row>
    <row r="256" spans="1:12" x14ac:dyDescent="0.2">
      <c r="A256" s="1526" t="s">
        <v>1028</v>
      </c>
      <c r="B256" s="615" t="s">
        <v>307</v>
      </c>
      <c r="C256" s="617"/>
      <c r="D256" s="474"/>
      <c r="E256" s="617"/>
      <c r="F256" s="617"/>
      <c r="G256" s="617"/>
      <c r="H256" s="617"/>
      <c r="I256" s="617"/>
      <c r="J256" s="617"/>
      <c r="K256" s="1687">
        <f t="shared" si="21"/>
        <v>0</v>
      </c>
      <c r="L256" s="466">
        <v>0</v>
      </c>
    </row>
    <row r="257" spans="1:14" ht="12.75" customHeight="1" thickBot="1" x14ac:dyDescent="0.25">
      <c r="A257" s="1683" t="s">
        <v>741</v>
      </c>
      <c r="B257" s="1711">
        <v>2300</v>
      </c>
      <c r="C257" s="617"/>
      <c r="D257" s="1685">
        <f>SUM(D245:D256)</f>
        <v>0</v>
      </c>
      <c r="E257" s="617"/>
      <c r="F257" s="617"/>
      <c r="G257" s="617"/>
      <c r="H257" s="617"/>
      <c r="I257" s="617"/>
      <c r="J257" s="617"/>
      <c r="K257" s="1685">
        <f>SUM(K245:K256)</f>
        <v>0</v>
      </c>
      <c r="L257" s="1685">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87">
        <f>D259</f>
        <v>0</v>
      </c>
      <c r="L259" s="481">
        <v>0</v>
      </c>
    </row>
    <row r="260" spans="1:14" s="598" customFormat="1" x14ac:dyDescent="0.2">
      <c r="A260" s="1543" t="s">
        <v>1903</v>
      </c>
      <c r="B260" s="629">
        <v>2490</v>
      </c>
      <c r="C260" s="617"/>
      <c r="D260" s="466"/>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0</v>
      </c>
      <c r="E261" s="617"/>
      <c r="F261" s="617"/>
      <c r="G261" s="617"/>
      <c r="H261" s="617"/>
      <c r="I261" s="617"/>
      <c r="J261" s="617"/>
      <c r="K261" s="1685">
        <f>SUM(K259:K260)</f>
        <v>0</v>
      </c>
      <c r="L261" s="1685">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87">
        <f>D263</f>
        <v>0</v>
      </c>
      <c r="L263" s="481">
        <v>0</v>
      </c>
    </row>
    <row r="264" spans="1:14" x14ac:dyDescent="0.2">
      <c r="A264" s="1525" t="s">
        <v>483</v>
      </c>
      <c r="B264" s="686">
        <v>2520</v>
      </c>
      <c r="C264" s="617"/>
      <c r="D264" s="466"/>
      <c r="E264" s="617"/>
      <c r="F264" s="617"/>
      <c r="G264" s="617"/>
      <c r="H264" s="617"/>
      <c r="I264" s="617"/>
      <c r="J264" s="617"/>
      <c r="K264" s="1687">
        <f t="shared" ref="K264:K269" si="22">D264</f>
        <v>0</v>
      </c>
      <c r="L264" s="466">
        <v>0</v>
      </c>
    </row>
    <row r="265" spans="1:14" x14ac:dyDescent="0.2">
      <c r="A265" s="1525" t="s">
        <v>4</v>
      </c>
      <c r="B265" s="615">
        <v>2530</v>
      </c>
      <c r="C265" s="617"/>
      <c r="D265" s="466"/>
      <c r="E265" s="617"/>
      <c r="F265" s="617"/>
      <c r="G265" s="617"/>
      <c r="H265" s="617"/>
      <c r="I265" s="617"/>
      <c r="J265" s="617"/>
      <c r="K265" s="1687">
        <f t="shared" si="22"/>
        <v>0</v>
      </c>
      <c r="L265" s="466">
        <v>0</v>
      </c>
    </row>
    <row r="266" spans="1:14" x14ac:dyDescent="0.2">
      <c r="A266" s="1525" t="s">
        <v>206</v>
      </c>
      <c r="B266" s="615">
        <v>2540</v>
      </c>
      <c r="C266" s="617"/>
      <c r="D266" s="466"/>
      <c r="E266" s="617"/>
      <c r="F266" s="617"/>
      <c r="G266" s="617"/>
      <c r="H266" s="617"/>
      <c r="I266" s="617"/>
      <c r="J266" s="617"/>
      <c r="K266" s="1687">
        <f t="shared" si="22"/>
        <v>0</v>
      </c>
      <c r="L266" s="466">
        <v>0</v>
      </c>
    </row>
    <row r="267" spans="1:14" x14ac:dyDescent="0.2">
      <c r="A267" s="1525" t="s">
        <v>1010</v>
      </c>
      <c r="B267" s="615">
        <v>2550</v>
      </c>
      <c r="C267" s="617"/>
      <c r="D267" s="466"/>
      <c r="E267" s="617"/>
      <c r="F267" s="617"/>
      <c r="G267" s="617"/>
      <c r="H267" s="617"/>
      <c r="I267" s="617"/>
      <c r="J267" s="617"/>
      <c r="K267" s="1687">
        <f t="shared" si="22"/>
        <v>0</v>
      </c>
      <c r="L267" s="466">
        <v>0</v>
      </c>
    </row>
    <row r="268" spans="1:14" x14ac:dyDescent="0.2">
      <c r="A268" s="1525" t="s">
        <v>102</v>
      </c>
      <c r="B268" s="615">
        <v>2560</v>
      </c>
      <c r="C268" s="617"/>
      <c r="D268" s="466"/>
      <c r="E268" s="617"/>
      <c r="F268" s="617"/>
      <c r="G268" s="617"/>
      <c r="H268" s="617"/>
      <c r="I268" s="617"/>
      <c r="J268" s="617"/>
      <c r="K268" s="1687">
        <f t="shared" si="22"/>
        <v>0</v>
      </c>
      <c r="L268" s="466">
        <v>0</v>
      </c>
    </row>
    <row r="269" spans="1:14" x14ac:dyDescent="0.2">
      <c r="A269" s="1525" t="s">
        <v>103</v>
      </c>
      <c r="B269" s="615">
        <v>2570</v>
      </c>
      <c r="C269" s="617"/>
      <c r="D269" s="466"/>
      <c r="E269" s="617"/>
      <c r="F269" s="617"/>
      <c r="G269" s="617"/>
      <c r="H269" s="617"/>
      <c r="I269" s="617"/>
      <c r="J269" s="617"/>
      <c r="K269" s="1687">
        <f t="shared" si="22"/>
        <v>0</v>
      </c>
      <c r="L269" s="466">
        <v>0</v>
      </c>
    </row>
    <row r="270" spans="1:14" ht="12.75" customHeight="1" thickBot="1" x14ac:dyDescent="0.25">
      <c r="A270" s="1683" t="s">
        <v>743</v>
      </c>
      <c r="B270" s="1690" t="s">
        <v>35</v>
      </c>
      <c r="C270" s="617"/>
      <c r="D270" s="1685">
        <f>SUM(D263:D269)</f>
        <v>0</v>
      </c>
      <c r="E270" s="617"/>
      <c r="F270" s="617"/>
      <c r="G270" s="617"/>
      <c r="H270" s="617"/>
      <c r="I270" s="617"/>
      <c r="J270" s="617"/>
      <c r="K270" s="1685">
        <f>SUM(K263:K269)</f>
        <v>0</v>
      </c>
      <c r="L270" s="1685">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87">
        <f>D272</f>
        <v>0</v>
      </c>
      <c r="L272" s="481">
        <v>0</v>
      </c>
    </row>
    <row r="273" spans="1:12" x14ac:dyDescent="0.2">
      <c r="A273" s="1525" t="s">
        <v>628</v>
      </c>
      <c r="B273" s="629">
        <v>2620</v>
      </c>
      <c r="C273" s="617"/>
      <c r="D273" s="466"/>
      <c r="E273" s="617"/>
      <c r="F273" s="617"/>
      <c r="G273" s="617"/>
      <c r="H273" s="617"/>
      <c r="I273" s="617"/>
      <c r="J273" s="617"/>
      <c r="K273" s="1687">
        <f>D273</f>
        <v>0</v>
      </c>
      <c r="L273" s="466">
        <v>0</v>
      </c>
    </row>
    <row r="274" spans="1:12" ht="12" customHeight="1" x14ac:dyDescent="0.2">
      <c r="A274" s="1525" t="s">
        <v>1121</v>
      </c>
      <c r="B274" s="615">
        <v>2630</v>
      </c>
      <c r="C274" s="617"/>
      <c r="D274" s="466"/>
      <c r="E274" s="617"/>
      <c r="F274" s="617"/>
      <c r="G274" s="617"/>
      <c r="H274" s="617"/>
      <c r="I274" s="617"/>
      <c r="J274" s="617"/>
      <c r="K274" s="1687">
        <f>D274</f>
        <v>0</v>
      </c>
      <c r="L274" s="466">
        <v>0</v>
      </c>
    </row>
    <row r="275" spans="1:12" x14ac:dyDescent="0.2">
      <c r="A275" s="1525" t="s">
        <v>423</v>
      </c>
      <c r="B275" s="615">
        <v>2640</v>
      </c>
      <c r="C275" s="617"/>
      <c r="D275" s="466"/>
      <c r="E275" s="617"/>
      <c r="F275" s="617"/>
      <c r="G275" s="617"/>
      <c r="H275" s="617"/>
      <c r="I275" s="617"/>
      <c r="J275" s="617"/>
      <c r="K275" s="1687">
        <f>D275</f>
        <v>0</v>
      </c>
      <c r="L275" s="466">
        <v>0</v>
      </c>
    </row>
    <row r="276" spans="1:12" x14ac:dyDescent="0.2">
      <c r="A276" s="1525" t="s">
        <v>424</v>
      </c>
      <c r="B276" s="615">
        <v>2660</v>
      </c>
      <c r="C276" s="617"/>
      <c r="D276" s="466"/>
      <c r="E276" s="617"/>
      <c r="F276" s="617"/>
      <c r="G276" s="617"/>
      <c r="H276" s="617"/>
      <c r="I276" s="617"/>
      <c r="J276" s="617"/>
      <c r="K276" s="1687">
        <f>D276</f>
        <v>0</v>
      </c>
      <c r="L276" s="466">
        <v>0</v>
      </c>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31" t="s">
        <v>1037</v>
      </c>
      <c r="B278" s="656" t="s">
        <v>595</v>
      </c>
      <c r="C278" s="617"/>
      <c r="D278" s="657"/>
      <c r="E278" s="617"/>
      <c r="F278" s="617"/>
      <c r="G278" s="617"/>
      <c r="H278" s="617"/>
      <c r="I278" s="617"/>
      <c r="J278" s="617"/>
      <c r="K278" s="1700">
        <f>D278</f>
        <v>0</v>
      </c>
      <c r="L278" s="657">
        <v>0</v>
      </c>
    </row>
    <row r="279" spans="1:12" ht="12.75" customHeight="1" thickBot="1" x14ac:dyDescent="0.25">
      <c r="A279" s="1713" t="s">
        <v>865</v>
      </c>
      <c r="B279" s="1696">
        <v>2000</v>
      </c>
      <c r="C279" s="617"/>
      <c r="D279" s="1692">
        <f>SUM(D238,D243,D257,D261,D270,D277,D278)</f>
        <v>0</v>
      </c>
      <c r="E279" s="617"/>
      <c r="F279" s="617"/>
      <c r="G279" s="617"/>
      <c r="H279" s="617"/>
      <c r="I279" s="617"/>
      <c r="J279" s="617"/>
      <c r="K279" s="1692">
        <f>SUM(K238,K243,K257,K261,K270,K277,K278)</f>
        <v>0</v>
      </c>
      <c r="L279" s="1692">
        <f>SUM(L238,L243,L257,L261,L270,L277,L278)</f>
        <v>0</v>
      </c>
    </row>
    <row r="280" spans="1:12" ht="15.75" customHeight="1" thickTop="1" thickBot="1" x14ac:dyDescent="0.25">
      <c r="A280" s="1645" t="s">
        <v>930</v>
      </c>
      <c r="B280" s="1634">
        <v>3000</v>
      </c>
      <c r="C280" s="617"/>
      <c r="D280" s="576"/>
      <c r="E280" s="617"/>
      <c r="F280" s="617"/>
      <c r="G280" s="617"/>
      <c r="H280" s="617"/>
      <c r="I280" s="617"/>
      <c r="J280" s="617"/>
      <c r="K280" s="1694">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6" t="s">
        <v>517</v>
      </c>
      <c r="B282" s="691" t="s">
        <v>1952</v>
      </c>
      <c r="C282" s="617"/>
      <c r="D282" s="467"/>
      <c r="E282" s="617"/>
      <c r="F282" s="617"/>
      <c r="G282" s="617"/>
      <c r="H282" s="617"/>
      <c r="I282" s="617"/>
      <c r="J282" s="617"/>
      <c r="K282" s="1686">
        <f>D282</f>
        <v>0</v>
      </c>
      <c r="L282" s="467">
        <v>0</v>
      </c>
    </row>
    <row r="283" spans="1:12" x14ac:dyDescent="0.2">
      <c r="A283" s="1525" t="s">
        <v>322</v>
      </c>
      <c r="B283" s="615">
        <v>4120</v>
      </c>
      <c r="C283" s="617"/>
      <c r="D283" s="466"/>
      <c r="E283" s="617"/>
      <c r="F283" s="617"/>
      <c r="G283" s="617"/>
      <c r="H283" s="617"/>
      <c r="I283" s="617"/>
      <c r="J283" s="617"/>
      <c r="K283" s="1686">
        <f>D283</f>
        <v>0</v>
      </c>
      <c r="L283" s="466">
        <v>0</v>
      </c>
    </row>
    <row r="284" spans="1:12" x14ac:dyDescent="0.2">
      <c r="A284" s="1525" t="s">
        <v>721</v>
      </c>
      <c r="B284" s="615">
        <v>4140</v>
      </c>
      <c r="C284" s="617"/>
      <c r="D284" s="467"/>
      <c r="E284" s="617"/>
      <c r="F284" s="617"/>
      <c r="G284" s="617"/>
      <c r="H284" s="617"/>
      <c r="I284" s="617"/>
      <c r="J284" s="617"/>
      <c r="K284" s="1686">
        <f>D284</f>
        <v>0</v>
      </c>
      <c r="L284" s="466">
        <v>0</v>
      </c>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6">
        <f>H288</f>
        <v>0</v>
      </c>
      <c r="L288" s="466">
        <v>0</v>
      </c>
    </row>
    <row r="289" spans="1:14" x14ac:dyDescent="0.2">
      <c r="A289" s="1525" t="s">
        <v>90</v>
      </c>
      <c r="B289" s="615">
        <v>5120</v>
      </c>
      <c r="C289" s="617"/>
      <c r="D289" s="617"/>
      <c r="E289" s="617"/>
      <c r="F289" s="617"/>
      <c r="G289" s="617"/>
      <c r="H289" s="466"/>
      <c r="I289" s="617"/>
      <c r="J289" s="617"/>
      <c r="K289" s="1686">
        <f>H289</f>
        <v>0</v>
      </c>
      <c r="L289" s="466">
        <v>0</v>
      </c>
    </row>
    <row r="290" spans="1:14" ht="12.75" customHeight="1" x14ac:dyDescent="0.2">
      <c r="A290" s="1525" t="s">
        <v>1232</v>
      </c>
      <c r="B290" s="629" t="s">
        <v>638</v>
      </c>
      <c r="C290" s="617"/>
      <c r="D290" s="617"/>
      <c r="E290" s="617"/>
      <c r="F290" s="617"/>
      <c r="G290" s="617"/>
      <c r="H290" s="466"/>
      <c r="I290" s="617"/>
      <c r="J290" s="617"/>
      <c r="K290" s="1686">
        <f>H290</f>
        <v>0</v>
      </c>
      <c r="L290" s="466">
        <v>0</v>
      </c>
    </row>
    <row r="291" spans="1:14" x14ac:dyDescent="0.2">
      <c r="A291" s="1525" t="s">
        <v>91</v>
      </c>
      <c r="B291" s="615" t="s">
        <v>610</v>
      </c>
      <c r="C291" s="617"/>
      <c r="D291" s="617"/>
      <c r="E291" s="617"/>
      <c r="F291" s="617"/>
      <c r="G291" s="617"/>
      <c r="H291" s="466"/>
      <c r="I291" s="617"/>
      <c r="J291" s="617"/>
      <c r="K291" s="1686">
        <f>H291</f>
        <v>0</v>
      </c>
      <c r="L291" s="466">
        <v>0</v>
      </c>
    </row>
    <row r="292" spans="1:14" x14ac:dyDescent="0.2">
      <c r="A292" s="1525" t="s">
        <v>786</v>
      </c>
      <c r="B292" s="615" t="s">
        <v>639</v>
      </c>
      <c r="C292" s="617"/>
      <c r="D292" s="617"/>
      <c r="E292" s="617"/>
      <c r="F292" s="617"/>
      <c r="G292" s="617"/>
      <c r="H292" s="466"/>
      <c r="I292" s="617"/>
      <c r="J292" s="617"/>
      <c r="K292" s="1686">
        <f>H292</f>
        <v>0</v>
      </c>
      <c r="L292" s="466">
        <v>0</v>
      </c>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22" t="s">
        <v>526</v>
      </c>
      <c r="B295" s="2223"/>
      <c r="C295" s="617"/>
      <c r="D295" s="1685">
        <f>SUM(D229,D279,D280,D285)</f>
        <v>0</v>
      </c>
      <c r="E295" s="617"/>
      <c r="F295" s="617"/>
      <c r="G295" s="617"/>
      <c r="H295" s="1685">
        <f>H293</f>
        <v>0</v>
      </c>
      <c r="I295" s="617"/>
      <c r="J295" s="617"/>
      <c r="K295" s="1685">
        <f>SUM(K229,K279,K280,K285,K293,K294)</f>
        <v>0</v>
      </c>
      <c r="L295" s="1685">
        <f>SUM(L229,L279,L280,L285,L293,L294)</f>
        <v>0</v>
      </c>
    </row>
    <row r="296" spans="1:14" ht="13.5" thickTop="1" x14ac:dyDescent="0.2">
      <c r="A296" s="2231" t="s">
        <v>1053</v>
      </c>
      <c r="B296" s="2232"/>
      <c r="C296" s="617"/>
      <c r="D296" s="619"/>
      <c r="E296" s="617"/>
      <c r="F296" s="617"/>
      <c r="G296" s="617"/>
      <c r="H296" s="688"/>
      <c r="I296" s="617"/>
      <c r="J296" s="617"/>
      <c r="K296" s="1699">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86">
        <f>SUM(C301:J301)</f>
        <v>0</v>
      </c>
      <c r="L301" s="467">
        <v>0</v>
      </c>
    </row>
    <row r="302" spans="1:14" ht="13.5" customHeight="1" x14ac:dyDescent="0.2">
      <c r="A302" s="1538" t="s">
        <v>1037</v>
      </c>
      <c r="B302" s="615" t="s">
        <v>595</v>
      </c>
      <c r="C302" s="466"/>
      <c r="D302" s="466"/>
      <c r="E302" s="466"/>
      <c r="F302" s="466"/>
      <c r="G302" s="466"/>
      <c r="H302" s="466"/>
      <c r="I302" s="467"/>
      <c r="J302" s="467"/>
      <c r="K302" s="1686">
        <f>SUM(C302:J302)</f>
        <v>0</v>
      </c>
      <c r="L302" s="466">
        <v>0</v>
      </c>
    </row>
    <row r="303" spans="1:14" ht="12.75" customHeight="1" thickBot="1" x14ac:dyDescent="0.25">
      <c r="A303" s="1683" t="s">
        <v>865</v>
      </c>
      <c r="B303" s="1684" t="s">
        <v>590</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1957</v>
      </c>
      <c r="B306" s="691" t="s">
        <v>1952</v>
      </c>
      <c r="C306" s="617"/>
      <c r="D306" s="617"/>
      <c r="E306" s="467"/>
      <c r="F306" s="617"/>
      <c r="G306" s="617"/>
      <c r="H306" s="467"/>
      <c r="I306" s="617"/>
      <c r="J306" s="617"/>
      <c r="K306" s="1686">
        <f>SUM(E306,H306)</f>
        <v>0</v>
      </c>
      <c r="L306" s="467">
        <v>0</v>
      </c>
    </row>
    <row r="307" spans="1:14" x14ac:dyDescent="0.2">
      <c r="A307" s="1525" t="s">
        <v>322</v>
      </c>
      <c r="B307" s="615">
        <v>4120</v>
      </c>
      <c r="C307" s="617"/>
      <c r="D307" s="617"/>
      <c r="E307" s="467"/>
      <c r="F307" s="617"/>
      <c r="G307" s="617"/>
      <c r="H307" s="467"/>
      <c r="I307" s="477"/>
      <c r="J307" s="617"/>
      <c r="K307" s="1686">
        <f>SUM(E307,H307)</f>
        <v>0</v>
      </c>
      <c r="L307" s="466">
        <v>0</v>
      </c>
    </row>
    <row r="308" spans="1:14" x14ac:dyDescent="0.2">
      <c r="A308" s="1525" t="s">
        <v>721</v>
      </c>
      <c r="B308" s="615">
        <v>4140</v>
      </c>
      <c r="C308" s="617"/>
      <c r="D308" s="617"/>
      <c r="E308" s="467"/>
      <c r="F308" s="617"/>
      <c r="G308" s="617"/>
      <c r="H308" s="467"/>
      <c r="I308" s="477"/>
      <c r="J308" s="617"/>
      <c r="K308" s="1686">
        <f>SUM(E308,H308)</f>
        <v>0</v>
      </c>
      <c r="L308" s="466">
        <v>0</v>
      </c>
    </row>
    <row r="309" spans="1:14" ht="12.75" customHeight="1" x14ac:dyDescent="0.2">
      <c r="A309" s="1529" t="s">
        <v>722</v>
      </c>
      <c r="B309" s="629">
        <v>4190</v>
      </c>
      <c r="C309" s="617"/>
      <c r="D309" s="617"/>
      <c r="E309" s="467"/>
      <c r="F309" s="617"/>
      <c r="G309" s="617"/>
      <c r="H309" s="467"/>
      <c r="I309" s="477"/>
      <c r="J309" s="617"/>
      <c r="K309" s="1686">
        <f>SUM(E309,H309)</f>
        <v>0</v>
      </c>
      <c r="L309" s="466">
        <v>0</v>
      </c>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19" t="s">
        <v>295</v>
      </c>
      <c r="B312" s="2220"/>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6"/>
      <c r="N312" s="666"/>
    </row>
    <row r="313" spans="1:14" ht="13.5" thickTop="1" x14ac:dyDescent="0.2">
      <c r="A313" s="2215" t="s">
        <v>1053</v>
      </c>
      <c r="B313" s="2216"/>
      <c r="C313" s="627"/>
      <c r="D313" s="627"/>
      <c r="E313" s="627"/>
      <c r="F313" s="627"/>
      <c r="G313" s="627"/>
      <c r="H313" s="627"/>
      <c r="I313" s="627"/>
      <c r="J313" s="627"/>
      <c r="K313" s="1700">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954</v>
      </c>
      <c r="B317" s="2229"/>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6">
        <f>SUM(C319:J319)</f>
        <v>0</v>
      </c>
      <c r="L319" s="467">
        <v>0</v>
      </c>
      <c r="M319" s="666"/>
      <c r="N319" s="666"/>
    </row>
    <row r="320" spans="1:14" s="675" customFormat="1" x14ac:dyDescent="0.2">
      <c r="A320" s="1544" t="s">
        <v>1904</v>
      </c>
      <c r="B320" s="699" t="s">
        <v>300</v>
      </c>
      <c r="C320" s="467"/>
      <c r="D320" s="467"/>
      <c r="E320" s="467"/>
      <c r="F320" s="467"/>
      <c r="G320" s="467"/>
      <c r="H320" s="467"/>
      <c r="I320" s="467"/>
      <c r="J320" s="467"/>
      <c r="K320" s="1686">
        <f t="shared" ref="K320:K327" si="24">SUM(C320:J320)</f>
        <v>0</v>
      </c>
      <c r="L320" s="467">
        <v>0</v>
      </c>
      <c r="M320" s="666"/>
      <c r="N320" s="666"/>
    </row>
    <row r="321" spans="1:14" s="675" customFormat="1" x14ac:dyDescent="0.2">
      <c r="A321" s="1540" t="s">
        <v>318</v>
      </c>
      <c r="B321" s="698" t="s">
        <v>301</v>
      </c>
      <c r="C321" s="467"/>
      <c r="D321" s="467"/>
      <c r="E321" s="467"/>
      <c r="F321" s="467"/>
      <c r="G321" s="467"/>
      <c r="H321" s="467"/>
      <c r="I321" s="467"/>
      <c r="J321" s="467"/>
      <c r="K321" s="1686">
        <f t="shared" si="24"/>
        <v>0</v>
      </c>
      <c r="L321" s="467">
        <v>0</v>
      </c>
      <c r="M321" s="666"/>
      <c r="N321" s="666"/>
    </row>
    <row r="322" spans="1:14" s="675" customFormat="1" x14ac:dyDescent="0.2">
      <c r="A322" s="1540" t="s">
        <v>256</v>
      </c>
      <c r="B322" s="698" t="s">
        <v>302</v>
      </c>
      <c r="C322" s="467"/>
      <c r="D322" s="467"/>
      <c r="E322" s="467"/>
      <c r="F322" s="467"/>
      <c r="G322" s="467"/>
      <c r="H322" s="467"/>
      <c r="I322" s="467"/>
      <c r="J322" s="467"/>
      <c r="K322" s="1686">
        <f t="shared" si="24"/>
        <v>0</v>
      </c>
      <c r="L322" s="467">
        <v>0</v>
      </c>
      <c r="M322" s="666"/>
      <c r="N322" s="666"/>
    </row>
    <row r="323" spans="1:14" s="675" customFormat="1" x14ac:dyDescent="0.2">
      <c r="A323" s="1540" t="s">
        <v>726</v>
      </c>
      <c r="B323" s="698" t="s">
        <v>303</v>
      </c>
      <c r="C323" s="467"/>
      <c r="D323" s="467"/>
      <c r="E323" s="467"/>
      <c r="F323" s="467"/>
      <c r="G323" s="467"/>
      <c r="H323" s="467"/>
      <c r="I323" s="467"/>
      <c r="J323" s="467"/>
      <c r="K323" s="1686">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86">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86">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86">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86">
        <f t="shared" si="24"/>
        <v>0</v>
      </c>
      <c r="L327" s="467">
        <v>0</v>
      </c>
      <c r="M327" s="666"/>
      <c r="N327" s="666"/>
    </row>
    <row r="328" spans="1:14" s="675" customFormat="1" x14ac:dyDescent="0.2">
      <c r="A328" s="1541" t="s">
        <v>492</v>
      </c>
      <c r="B328" s="691" t="s">
        <v>1194</v>
      </c>
      <c r="C328" s="474"/>
      <c r="D328" s="474"/>
      <c r="E328" s="474"/>
      <c r="F328" s="474"/>
      <c r="G328" s="474"/>
      <c r="H328" s="474"/>
      <c r="I328" s="474"/>
      <c r="J328" s="474"/>
      <c r="K328" s="1714">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14">
        <f>SUM(C329:J329)</f>
        <v>0</v>
      </c>
      <c r="L329" s="474">
        <v>0</v>
      </c>
      <c r="M329" s="666"/>
      <c r="N329" s="666"/>
    </row>
    <row r="330" spans="1:14" s="675" customFormat="1" ht="12.75" customHeight="1" thickBot="1" x14ac:dyDescent="0.25">
      <c r="A330" s="1715" t="s">
        <v>741</v>
      </c>
      <c r="B330" s="1684" t="s">
        <v>590</v>
      </c>
      <c r="C330" s="1685">
        <f>SUM(C319:C329)</f>
        <v>0</v>
      </c>
      <c r="D330" s="1685">
        <f t="shared" ref="D330:J330" si="25">SUM(D319:D329)</f>
        <v>0</v>
      </c>
      <c r="E330" s="1685">
        <f t="shared" si="25"/>
        <v>0</v>
      </c>
      <c r="F330" s="1685">
        <f t="shared" si="25"/>
        <v>0</v>
      </c>
      <c r="G330" s="1685">
        <f t="shared" si="25"/>
        <v>0</v>
      </c>
      <c r="H330" s="1685">
        <f t="shared" si="25"/>
        <v>0</v>
      </c>
      <c r="I330" s="1685">
        <f t="shared" si="25"/>
        <v>0</v>
      </c>
      <c r="J330" s="1685">
        <f t="shared" si="25"/>
        <v>0</v>
      </c>
      <c r="K330" s="1685">
        <f>SUM(K319:K329)</f>
        <v>0</v>
      </c>
      <c r="L330" s="1685">
        <f>SUM(L319:L329)</f>
        <v>0</v>
      </c>
      <c r="M330" s="666"/>
      <c r="N330" s="666"/>
    </row>
    <row r="331" spans="1:14" s="675" customFormat="1" ht="12.75" customHeight="1" thickTop="1" x14ac:dyDescent="0.2">
      <c r="A331" s="1847" t="s">
        <v>1958</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1952</v>
      </c>
      <c r="C332" s="1849"/>
      <c r="D332" s="1849"/>
      <c r="E332" s="1849"/>
      <c r="F332" s="1849"/>
      <c r="G332" s="1849"/>
      <c r="H332" s="467"/>
      <c r="I332" s="1849"/>
      <c r="J332" s="1849"/>
      <c r="K332" s="1686">
        <f>H332</f>
        <v>0</v>
      </c>
      <c r="L332" s="467">
        <v>0</v>
      </c>
      <c r="M332" s="666"/>
      <c r="N332" s="666"/>
    </row>
    <row r="333" spans="1:14" s="675" customFormat="1" ht="12.75" customHeight="1" x14ac:dyDescent="0.2">
      <c r="A333" s="1848" t="s">
        <v>322</v>
      </c>
      <c r="B333" s="1843" t="s">
        <v>1954</v>
      </c>
      <c r="C333" s="1849"/>
      <c r="D333" s="1849"/>
      <c r="E333" s="1849"/>
      <c r="F333" s="1849"/>
      <c r="G333" s="1849"/>
      <c r="H333" s="467"/>
      <c r="I333" s="1849"/>
      <c r="J333" s="1849"/>
      <c r="K333" s="1686">
        <f>H333</f>
        <v>0</v>
      </c>
      <c r="L333" s="467">
        <v>0</v>
      </c>
      <c r="M333" s="666"/>
      <c r="N333" s="666"/>
    </row>
    <row r="334" spans="1:14" s="675" customFormat="1" ht="12.75" customHeight="1" thickBot="1" x14ac:dyDescent="0.25">
      <c r="A334" s="1848" t="s">
        <v>1959</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6">
        <f>H337</f>
        <v>0</v>
      </c>
      <c r="L337" s="478">
        <v>0</v>
      </c>
    </row>
    <row r="338" spans="1:14" ht="12.75" customHeight="1" x14ac:dyDescent="0.2">
      <c r="A338" s="1539" t="s">
        <v>1232</v>
      </c>
      <c r="B338" s="691" t="s">
        <v>638</v>
      </c>
      <c r="C338" s="639"/>
      <c r="D338" s="639"/>
      <c r="E338" s="639"/>
      <c r="F338" s="639"/>
      <c r="G338" s="639"/>
      <c r="H338" s="478"/>
      <c r="I338" s="639"/>
      <c r="J338" s="639"/>
      <c r="K338" s="1686">
        <f>H338</f>
        <v>0</v>
      </c>
      <c r="L338" s="478">
        <v>0</v>
      </c>
    </row>
    <row r="339" spans="1:14" x14ac:dyDescent="0.2">
      <c r="A339" s="1525" t="s">
        <v>957</v>
      </c>
      <c r="B339" s="629">
        <v>5150</v>
      </c>
      <c r="C339" s="639"/>
      <c r="D339" s="639"/>
      <c r="E339" s="639"/>
      <c r="F339" s="639"/>
      <c r="G339" s="639"/>
      <c r="H339" s="467"/>
      <c r="I339" s="639"/>
      <c r="J339" s="639"/>
      <c r="K339" s="1686">
        <f>H339</f>
        <v>0</v>
      </c>
      <c r="L339" s="467">
        <v>0</v>
      </c>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1" t="s">
        <v>526</v>
      </c>
      <c r="B342" s="1716"/>
      <c r="C342" s="1685">
        <f>SUM(C330)</f>
        <v>0</v>
      </c>
      <c r="D342" s="1685">
        <f>SUM(D330)</f>
        <v>0</v>
      </c>
      <c r="E342" s="1685">
        <f>SUM(E330)</f>
        <v>0</v>
      </c>
      <c r="F342" s="1685">
        <f>SUM(F330)</f>
        <v>0</v>
      </c>
      <c r="G342" s="1685">
        <f>SUM(G330)</f>
        <v>0</v>
      </c>
      <c r="H342" s="1685">
        <f>SUM(H330,H334,H340)</f>
        <v>0</v>
      </c>
      <c r="I342" s="1685">
        <f>SUM(I330)</f>
        <v>0</v>
      </c>
      <c r="J342" s="1685">
        <f>SUM(J330)</f>
        <v>0</v>
      </c>
      <c r="K342" s="1685">
        <f>SUM(K330,K334,K340)</f>
        <v>0</v>
      </c>
      <c r="L342" s="1692">
        <f>SUM(L330,L340,L341)</f>
        <v>0</v>
      </c>
    </row>
    <row r="343" spans="1:14" ht="12.75" customHeight="1" thickTop="1" x14ac:dyDescent="0.2">
      <c r="A343" s="2217" t="s">
        <v>1053</v>
      </c>
      <c r="B343" s="2218"/>
      <c r="C343" s="617"/>
      <c r="D343" s="617"/>
      <c r="E343" s="617"/>
      <c r="F343" s="617"/>
      <c r="G343" s="617"/>
      <c r="H343" s="617"/>
      <c r="I343" s="617"/>
      <c r="J343" s="617"/>
      <c r="K343" s="1699">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1023</v>
      </c>
      <c r="B345" s="2208"/>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86">
        <f>SUM(C348:J348)</f>
        <v>0</v>
      </c>
      <c r="L348" s="466">
        <v>0</v>
      </c>
    </row>
    <row r="349" spans="1:14" x14ac:dyDescent="0.2">
      <c r="A349" s="1525" t="s">
        <v>206</v>
      </c>
      <c r="B349" s="615">
        <v>2540</v>
      </c>
      <c r="C349" s="466"/>
      <c r="D349" s="466"/>
      <c r="E349" s="466"/>
      <c r="F349" s="466"/>
      <c r="G349" s="466"/>
      <c r="H349" s="466"/>
      <c r="I349" s="467"/>
      <c r="J349" s="467"/>
      <c r="K349" s="1686">
        <f>SUM(C349:J349)</f>
        <v>0</v>
      </c>
      <c r="L349" s="466">
        <v>0</v>
      </c>
    </row>
    <row r="350" spans="1:14" ht="12.75" customHeight="1" thickBot="1" x14ac:dyDescent="0.25">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0" t="s">
        <v>1960</v>
      </c>
      <c r="B354" s="684" t="s">
        <v>1952</v>
      </c>
      <c r="C354" s="617"/>
      <c r="D354" s="617"/>
      <c r="E354" s="617"/>
      <c r="F354" s="617"/>
      <c r="G354" s="617"/>
      <c r="H354" s="474"/>
      <c r="I354" s="702"/>
      <c r="J354" s="617"/>
      <c r="K354" s="1714">
        <f>H354</f>
        <v>0</v>
      </c>
      <c r="L354" s="471">
        <v>0</v>
      </c>
    </row>
    <row r="355" spans="1:14" ht="12.75" customHeight="1" x14ac:dyDescent="0.2">
      <c r="A355" s="1534" t="s">
        <v>1961</v>
      </c>
      <c r="B355" s="691" t="s">
        <v>1954</v>
      </c>
      <c r="C355" s="617"/>
      <c r="D355" s="617"/>
      <c r="E355" s="617"/>
      <c r="F355" s="617"/>
      <c r="G355" s="617"/>
      <c r="H355" s="467"/>
      <c r="I355" s="702"/>
      <c r="J355" s="617"/>
      <c r="K355" s="1758">
        <f>H355</f>
        <v>0</v>
      </c>
      <c r="L355" s="467">
        <v>0</v>
      </c>
    </row>
    <row r="356" spans="1:14" ht="12.75" customHeight="1" x14ac:dyDescent="0.2">
      <c r="A356" s="1850" t="s">
        <v>722</v>
      </c>
      <c r="B356" s="684" t="s">
        <v>579</v>
      </c>
      <c r="C356" s="617"/>
      <c r="D356" s="617"/>
      <c r="E356" s="617"/>
      <c r="F356" s="617"/>
      <c r="G356" s="617"/>
      <c r="H356" s="479"/>
      <c r="I356" s="702"/>
      <c r="J356" s="617"/>
      <c r="K356" s="1755">
        <f>H356</f>
        <v>0</v>
      </c>
      <c r="L356" s="479">
        <v>0</v>
      </c>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6">
        <f>SUM(C360:J360)</f>
        <v>0</v>
      </c>
      <c r="L360" s="466">
        <v>0</v>
      </c>
    </row>
    <row r="361" spans="1:14" ht="12.75" customHeight="1" x14ac:dyDescent="0.2">
      <c r="A361" s="1526" t="s">
        <v>640</v>
      </c>
      <c r="B361" s="603" t="s">
        <v>639</v>
      </c>
      <c r="C361" s="617"/>
      <c r="D361" s="617"/>
      <c r="E361" s="617"/>
      <c r="F361" s="617"/>
      <c r="G361" s="617"/>
      <c r="H361" s="467"/>
      <c r="I361" s="617"/>
      <c r="J361" s="617"/>
      <c r="K361" s="1686">
        <f>SUM(C361:J361)</f>
        <v>0</v>
      </c>
      <c r="L361" s="466">
        <v>0</v>
      </c>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v>0</v>
      </c>
    </row>
    <row r="365" spans="1:14" s="675" customFormat="1" ht="12.75" customHeight="1" thickBot="1" x14ac:dyDescent="0.25">
      <c r="A365" s="1542"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x14ac:dyDescent="0.2">
      <c r="A368" s="2231" t="s">
        <v>1053</v>
      </c>
      <c r="B368" s="2232"/>
      <c r="C368" s="655"/>
      <c r="D368" s="655"/>
      <c r="E368" s="627"/>
      <c r="F368" s="627"/>
      <c r="G368" s="627"/>
      <c r="H368" s="627"/>
      <c r="I368" s="627"/>
      <c r="J368" s="624"/>
      <c r="K368" s="1686">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to the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sharepoint/v3"/>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6ce3111e-7420-4802-b50a-75d4e9a0b980"/>
    <ds:schemaRef ds:uri="d21dc803-237d-4c68-8692-8d731fd29118"/>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Sec-2 (2)</vt:lpstr>
      <vt:lpstr>SF&amp;QC Sec-3</vt:lpstr>
      <vt:lpstr>SSPAF</vt:lpstr>
      <vt:lpstr>Sheet1</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2018-12-06T22:00:56Z</cp:lastPrinted>
  <dcterms:created xsi:type="dcterms:W3CDTF">2003-10-29T19:06:34Z</dcterms:created>
  <dcterms:modified xsi:type="dcterms:W3CDTF">2018-12-12T19:24:14Z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