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Shared Outsourced Services 31" sheetId="182" r:id="rId14"/>
    <sheet name="Itemization 33" sheetId="127" r:id="rId15"/>
    <sheet name="DeficitAFRSum Calc 36" sheetId="146" r:id="rId16"/>
    <sheet name="PCTC-OEPP 27-28" sheetId="34" r:id="rId17"/>
    <sheet name="Contracts Paid in CY 29" sheetId="181" r:id="rId18"/>
    <sheet name="ICR Computation 30" sheetId="108" r:id="rId19"/>
    <sheet name="AC32" sheetId="145" r:id="rId20"/>
    <sheet name="REF 34" sheetId="117" r:id="rId21"/>
    <sheet name="Opinion-Notes 35" sheetId="129"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3">'Shared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7">'Contracts Paid in CY 29'!$15:$15</definedName>
    <definedName name="_xlnm.Print_Titles" localSheetId="8">'Expenditures 15-22'!$A:$B,'Expenditures 15-22'!$1:$2</definedName>
    <definedName name="_xlnm.Print_Titles" localSheetId="16">'PCTC-OEPP 27-28'!$1:$5</definedName>
    <definedName name="_xlnm.Print_Titles" localSheetId="7">'Revenues 9-14'!$A:$B,'Revenues 9-14'!$1:$2</definedName>
    <definedName name="_xlnm.Print_Titles" localSheetId="13">'Shared Outsourced Services 31'!$5:$5</definedName>
    <definedName name="_xlnm.Print_Titles" localSheetId="25">'Single Audit Checklist'!$1:$4</definedName>
    <definedName name="SCHADDRS" localSheetId="27">#REF!</definedName>
    <definedName name="SCHADDRS" localSheetId="19">#REF!</definedName>
    <definedName name="SCHADDRS" localSheetId="15">#REF!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9">#REF!</definedName>
    <definedName name="SCHCTY" localSheetId="15">#REF!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9">#REF!</definedName>
    <definedName name="SCHNMBR" localSheetId="15">#REF!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9">#REF!</definedName>
    <definedName name="SCHNME" localSheetId="15">#REF!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9">#REF!</definedName>
    <definedName name="SUPT" localSheetId="15">#REF!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9" i="3" l="1"/>
  <c r="C107" i="5"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2" i="170" l="1"/>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6833" i="106" s="1"/>
  <c r="D6833" i="106" s="1"/>
  <c r="B7761" i="106"/>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K83" i="29"/>
  <c r="K93" i="29"/>
  <c r="B6997" i="106" s="1"/>
  <c r="D6997" i="106" s="1"/>
  <c r="K94" i="29"/>
  <c r="K95" i="29"/>
  <c r="B7001" i="106" s="1"/>
  <c r="D7001" i="106" s="1"/>
  <c r="K96" i="29"/>
  <c r="K97" i="29"/>
  <c r="B7005" i="106" s="1"/>
  <c r="D7005" i="106" s="1"/>
  <c r="K98" i="29"/>
  <c r="K99" i="29"/>
  <c r="B7010" i="106" s="1"/>
  <c r="D7010" i="106" s="1"/>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c r="B5106" i="106"/>
  <c r="D5106" i="106" s="1"/>
  <c r="B5107" i="106"/>
  <c r="D5107" i="106" s="1"/>
  <c r="B5108" i="106"/>
  <c r="D5108" i="106" s="1"/>
  <c r="B5109" i="106"/>
  <c r="D5109" i="106"/>
  <c r="B5110" i="106"/>
  <c r="D5110" i="106" s="1"/>
  <c r="B5111" i="106"/>
  <c r="D5111" i="106" s="1"/>
  <c r="B5113" i="106"/>
  <c r="D5113" i="106" s="1"/>
  <c r="B5114" i="106"/>
  <c r="D5114" i="106" s="1"/>
  <c r="B5115" i="106"/>
  <c r="D5115" i="106" s="1"/>
  <c r="B5116" i="106"/>
  <c r="D5116" i="106" s="1"/>
  <c r="B5117" i="106"/>
  <c r="D5117" i="106" s="1"/>
  <c r="B5118" i="106"/>
  <c r="D5118" i="106"/>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F26" i="108"/>
  <c r="G26" i="108"/>
  <c r="E27" i="108"/>
  <c r="G27" i="108"/>
  <c r="E28" i="108"/>
  <c r="F28" i="108"/>
  <c r="F31" i="108"/>
  <c r="F36" i="108"/>
  <c r="F37" i="108"/>
  <c r="G28"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F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F111" i="34" s="1"/>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J22" i="37"/>
  <c r="L22" i="37"/>
  <c r="D24" i="37"/>
  <c r="B4270" i="106" s="1"/>
  <c r="D4270" i="106" s="1"/>
  <c r="L5" i="11"/>
  <c r="B2056" i="106" s="1"/>
  <c r="D2056" i="106" s="1"/>
  <c r="D4" i="7"/>
  <c r="B1760" i="106" s="1"/>
  <c r="D1760" i="106" s="1"/>
  <c r="B5847" i="106"/>
  <c r="D5847" i="106" s="1"/>
  <c r="H173" i="5"/>
  <c r="B5906" i="106" s="1"/>
  <c r="D5906" i="106" s="1"/>
  <c r="B1746" i="106"/>
  <c r="D1746" i="106" s="1"/>
  <c r="F36" i="34" l="1"/>
  <c r="E29" i="108"/>
  <c r="F27" i="108"/>
  <c r="D69" i="36"/>
  <c r="J210" i="29"/>
  <c r="B7072" i="106" s="1"/>
  <c r="D7072" i="106" s="1"/>
  <c r="H109" i="5"/>
  <c r="B6025" i="106" s="1"/>
  <c r="D6025" i="106" s="1"/>
  <c r="E26" i="108"/>
  <c r="D68" i="36"/>
  <c r="B3723" i="106"/>
  <c r="D3723" i="106" s="1"/>
  <c r="B1124" i="106"/>
  <c r="D1124" i="106" s="1"/>
  <c r="D22" i="37"/>
  <c r="D15" i="7"/>
  <c r="B1772" i="106" s="1"/>
  <c r="D1772" i="106" s="1"/>
  <c r="D11" i="7"/>
  <c r="B1768" i="106" s="1"/>
  <c r="D1768" i="106" s="1"/>
  <c r="F38" i="34"/>
  <c r="J352" i="29"/>
  <c r="J367" i="29" s="1"/>
  <c r="B7245" i="106" s="1"/>
  <c r="D7245" i="106" s="1"/>
  <c r="B7047" i="106"/>
  <c r="D7047" i="106" s="1"/>
  <c r="F46" i="34"/>
  <c r="C342" i="29"/>
  <c r="B7216" i="106" s="1"/>
  <c r="D7216" i="106" s="1"/>
  <c r="K41" i="3"/>
  <c r="L15" i="11"/>
  <c r="B3459" i="106" s="1"/>
  <c r="D3459" i="106" s="1"/>
  <c r="F21" i="8"/>
  <c r="B1274" i="106"/>
  <c r="D1274" i="106" s="1"/>
  <c r="G15" i="145"/>
  <c r="I210" i="29"/>
  <c r="I274" i="5"/>
  <c r="E109" i="5"/>
  <c r="E4" i="4" s="1"/>
  <c r="B2630" i="106" s="1"/>
  <c r="D2630" i="106" s="1"/>
  <c r="C352" i="29"/>
  <c r="F77" i="4"/>
  <c r="B3255" i="106" s="1"/>
  <c r="D3255" i="106" s="1"/>
  <c r="D5" i="4"/>
  <c r="B3406" i="106" s="1"/>
  <c r="D3406" i="106" s="1"/>
  <c r="F127" i="34"/>
  <c r="F131" i="34"/>
  <c r="L367" i="29"/>
  <c r="D12" i="7"/>
  <c r="B1769" i="106" s="1"/>
  <c r="D1769" i="106" s="1"/>
  <c r="K274" i="5"/>
  <c r="D13" i="7"/>
  <c r="B3726" i="106" s="1"/>
  <c r="D3726" i="106" s="1"/>
  <c r="I173" i="5"/>
  <c r="B4216" i="106" s="1"/>
  <c r="D4216" i="106" s="1"/>
  <c r="G172" i="5"/>
  <c r="B5096" i="106"/>
  <c r="D5096" i="106" s="1"/>
  <c r="F50" i="34"/>
  <c r="F44" i="34"/>
  <c r="K184" i="29"/>
  <c r="F13" i="4" s="1"/>
  <c r="B2596" i="106" s="1"/>
  <c r="D2596" i="106" s="1"/>
  <c r="G210" i="29"/>
  <c r="D54" i="36"/>
  <c r="L13" i="11"/>
  <c r="B2060" i="106" s="1"/>
  <c r="D2060" i="106" s="1"/>
  <c r="C109" i="5"/>
  <c r="B5121" i="106" s="1"/>
  <c r="D5121" i="106" s="1"/>
  <c r="G173" i="5"/>
  <c r="B5778" i="106" s="1"/>
  <c r="D5778" i="106" s="1"/>
  <c r="B5770" i="106"/>
  <c r="D5770" i="106" s="1"/>
  <c r="D17" i="7"/>
  <c r="B4104" i="106" s="1"/>
  <c r="D4104" i="106" s="1"/>
  <c r="F106" i="34"/>
  <c r="B5752" i="106"/>
  <c r="D5752" i="106" s="1"/>
  <c r="F128" i="34"/>
  <c r="H33" i="118"/>
  <c r="J274" i="5"/>
  <c r="B7054" i="106" s="1"/>
  <c r="D7054" i="106" s="1"/>
  <c r="I342" i="29"/>
  <c r="B7222" i="106" s="1"/>
  <c r="D7222" i="106" s="1"/>
  <c r="B3621" i="106"/>
  <c r="D3621" i="106" s="1"/>
  <c r="C367" i="29"/>
  <c r="B3622" i="106" s="1"/>
  <c r="D3622" i="106" s="1"/>
  <c r="C129" i="29"/>
  <c r="B1225" i="106" s="1"/>
  <c r="D1225" i="106" s="1"/>
  <c r="B1223" i="106"/>
  <c r="D1223" i="106" s="1"/>
  <c r="B1053" i="106"/>
  <c r="D1053" i="106" s="1"/>
  <c r="H112" i="29"/>
  <c r="B7018" i="106" s="1"/>
  <c r="D7018" i="106" s="1"/>
  <c r="H4" i="4"/>
  <c r="B2655" i="106" s="1"/>
  <c r="D2655" i="106" s="1"/>
  <c r="D109" i="5"/>
  <c r="F130" i="34"/>
  <c r="D9" i="7"/>
  <c r="B1767" i="106" s="1"/>
  <c r="D1767" i="106" s="1"/>
  <c r="K28" i="118"/>
  <c r="O27" i="118" s="1"/>
  <c r="O29" i="118" s="1"/>
  <c r="B5232" i="106"/>
  <c r="D5232" i="106" s="1"/>
  <c r="G109" i="5"/>
  <c r="B5066" i="106"/>
  <c r="D5066" i="106" s="1"/>
  <c r="L342" i="29"/>
  <c r="F34" i="34"/>
  <c r="B7235" i="106"/>
  <c r="D7235" i="106" s="1"/>
  <c r="J41" i="3"/>
  <c r="D51" i="36" s="1"/>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C4" i="4"/>
  <c r="B2551" i="106" s="1"/>
  <c r="D255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B7270" i="106"/>
  <c r="D7253" i="106" l="1"/>
  <c r="L114" i="29"/>
  <c r="K77" i="4"/>
  <c r="B3587" i="106" s="1"/>
  <c r="D3587" i="106" s="1"/>
  <c r="B6014" i="106"/>
  <c r="D6014" i="106" s="1"/>
  <c r="I6" i="4"/>
  <c r="B5011" i="106" s="1"/>
  <c r="D5011" i="106" s="1"/>
  <c r="B7071" i="106"/>
  <c r="D7071" i="106" s="1"/>
  <c r="F66" i="34"/>
  <c r="B3568" i="106"/>
  <c r="D3568" i="106" s="1"/>
  <c r="D52" i="36"/>
  <c r="D19" i="7"/>
  <c r="B1775" i="106" s="1"/>
  <c r="D1775" i="106" s="1"/>
  <c r="B1365" i="106"/>
  <c r="D1365" i="106" s="1"/>
  <c r="F65" i="34"/>
  <c r="B1879" i="106"/>
  <c r="D1879" i="106" s="1"/>
  <c r="H22" i="37"/>
  <c r="I26" i="12"/>
  <c r="B7741" i="106" s="1"/>
  <c r="D7741" i="106" s="1"/>
  <c r="B1996" i="106"/>
  <c r="D1996" i="106" s="1"/>
  <c r="B5214" i="106"/>
  <c r="D5214" i="106" s="1"/>
  <c r="C173" i="5"/>
  <c r="B3628" i="106"/>
  <c r="D3628" i="106" s="1"/>
  <c r="C151" i="29"/>
  <c r="B1226" i="106" s="1"/>
  <c r="D1226" i="106" s="1"/>
  <c r="B1317" i="106"/>
  <c r="D1317" i="106" s="1"/>
  <c r="F274" i="5"/>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B7224" i="106" l="1"/>
  <c r="D7224" i="106" s="1"/>
  <c r="J17" i="4"/>
  <c r="G41" i="108"/>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G44" i="108"/>
  <c r="G45" i="108" s="1"/>
  <c r="H37" i="37"/>
  <c r="B285" i="106"/>
  <c r="D285" i="106" s="1"/>
  <c r="N37" i="3"/>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3" i="106" l="1"/>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0" i="4" l="1"/>
  <c r="B4125" i="106" s="1"/>
  <c r="D4125" i="106" s="1"/>
  <c r="B2595" i="106"/>
  <c r="D2595" i="106" s="1"/>
  <c r="D8" i="146"/>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<sst xmlns="http://schemas.openxmlformats.org/spreadsheetml/2006/main" count="5033" uniqueCount="2111">
  <si>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</si>
  <si>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</si>
  <si>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</si>
  <si>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</si>
  <si>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</si>
  <si>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</si>
  <si>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</si>
  <si>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</si>
  <si>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</si>
  <si>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</si>
  <si>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</si>
  <si>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</si>
  <si>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</si>
  <si>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</si>
  <si>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</si>
  <si>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</si>
  <si>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</si>
  <si>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</si>
  <si>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</si>
  <si>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</si>
  <si>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</si>
  <si>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</si>
  <si>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</si>
  <si>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</si>
  <si>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</si>
  <si>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</si>
  <si>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</si>
  <si>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</si>
  <si>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</si>
  <si>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</si>
  <si>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</si>
  <si>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</si>
  <si>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</si>
  <si>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</si>
  <si>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</si>
  <si>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</si>
  <si>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</si>
  <si>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</si>
  <si>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</si>
  <si>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</si>
  <si>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</si>
  <si>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</si>
  <si>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</si>
  <si>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</si>
  <si>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</si>
  <si>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</si>
  <si>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</si>
  <si>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</si>
  <si>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</si>
  <si>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</si>
  <si>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</si>
  <si>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</si>
  <si>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</si>
  <si>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</si>
  <si>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</si>
  <si>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</si>
  <si>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</si>
  <si>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</si>
  <si>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</si>
  <si>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</si>
  <si>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</si>
  <si>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</si>
  <si>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</si>
  <si>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</si>
  <si>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</si>
  <si>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</si>
  <si>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</si>
  <si>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</si>
  <si>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</si>
  <si>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</si>
  <si>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</si>
  <si>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</si>
  <si>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</si>
  <si>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</si>
  <si>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</si>
  <si>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</si>
  <si>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</si>
  <si>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</si>
  <si>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</si>
  <si>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</si>
  <si>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</si>
  <si>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</si>
  <si>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</si>
  <si>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</si>
  <si>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</si>
  <si>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</si>
  <si>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</si>
  <si>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</si>
  <si>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</si>
  <si>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</si>
  <si>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</si>
  <si>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</si>
  <si>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</si>
  <si>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</si>
  <si>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</si>
  <si>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</si>
  <si>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</si>
  <si>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</si>
  <si>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</si>
  <si>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</si>
  <si>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</si>
  <si>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</si>
  <si>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</si>
  <si>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</si>
  <si>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</si>
  <si>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</si>
  <si>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</si>
  <si>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</si>
  <si>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</si>
  <si>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</si>
  <si>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</si>
  <si>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</si>
  <si>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</si>
  <si>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</si>
  <si>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</si>
  <si>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</si>
  <si>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</si>
  <si>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</si>
  <si>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</si>
  <si>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</si>
  <si>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</si>
  <si>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</si>
  <si>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</si>
  <si>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</si>
  <si>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</si>
  <si>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</si>
  <si>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</si>
  <si>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</si>
  <si>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</si>
  <si>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</si>
  <si>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</si>
  <si>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</si>
  <si>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</si>
  <si>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</si>
  <si>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</si>
  <si>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</si>
  <si>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</si>
  <si>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</si>
  <si>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</si>
  <si>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</si>
  <si>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</si>
  <si>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</si>
  <si>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</si>
  <si>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</si>
  <si>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</si>
  <si>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</si>
  <si>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</si>
  <si>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</si>
  <si>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</si>
  <si>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</si>
  <si>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</si>
  <si>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</si>
  <si>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</si>
  <si>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</si>
  <si>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</si>
  <si>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</si>
  <si>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</si>
  <si>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</si>
  <si>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</si>
  <si>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</si>
  <si>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</si>
  <si>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</si>
  <si>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</si>
  <si>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</si>
  <si>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</si>
  <si>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</si>
  <si>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</si>
  <si>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</si>
  <si>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</si>
  <si>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</si>
  <si>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</si>
  <si>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</si>
  <si>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</si>
  <si>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</si>
  <si>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</si>
  <si>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</si>
  <si>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</si>
  <si>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</si>
  <si>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</si>
  <si>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</si>
  <si>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</si>
  <si>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</si>
  <si>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</si>
  <si>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</si>
  <si>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</si>
  <si>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</si>
  <si>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</si>
  <si>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</si>
  <si>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</si>
  <si>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</si>
  <si>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</si>
  <si>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</si>
  <si>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</si>
  <si>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</si>
  <si>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</si>
  <si>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</si>
  <si>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</si>
  <si>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</si>
  <si>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</si>
  <si>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</si>
  <si>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</si>
  <si>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</si>
  <si>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</si>
  <si>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</si>
  <si>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</si>
  <si>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</si>
  <si>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</si>
  <si>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</si>
  <si>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</si>
  <si>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</si>
  <si>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</si>
  <si>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</si>
  <si>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</si>
  <si>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</si>
  <si>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</si>
  <si>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</si>
  <si>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</si>
  <si>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</si>
  <si>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</si>
  <si>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</si>
  <si>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</si>
  <si>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</si>
  <si>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</si>
  <si>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</si>
  <si>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</si>
  <si>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</si>
  <si>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</si>
  <si>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</si>
  <si>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</si>
  <si>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</si>
  <si>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</si>
  <si>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</si>
  <si>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</si>
  <si>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</si>
  <si>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</si>
  <si>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</si>
  <si>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</si>
  <si>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</si>
  <si>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</si>
  <si>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</si>
  <si>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</si>
  <si>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</si>
  <si>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</si>
  <si>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</si>
  <si>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</si>
  <si>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</si>
  <si>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</si>
  <si>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</si>
  <si>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</si>
  <si>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</si>
  <si>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</si>
  <si>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</si>
  <si>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</si>
  <si>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</si>
  <si>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</si>
  <si>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</si>
  <si>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</si>
  <si>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</si>
  <si>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</si>
  <si>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</si>
  <si>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</si>
  <si>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</si>
  <si>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</si>
  <si>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</si>
  <si>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</si>
  <si>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</si>
  <si>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</si>
  <si>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</si>
  <si>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</si>
  <si>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</si>
  <si>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</si>
  <si>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</si>
  <si>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</si>
  <si>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</si>
  <si>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</si>
  <si>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</si>
  <si>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</si>
  <si>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</si>
  <si>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</si>
  <si>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</si>
  <si>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</si>
  <si>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</si>
  <si>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</si>
  <si>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</si>
  <si>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</si>
  <si>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</si>
  <si>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</si>
  <si>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</si>
  <si>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</si>
  <si>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</si>
  <si>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</si>
  <si>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</si>
  <si>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</si>
  <si>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</si>
  <si>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</si>
  <si>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</si>
  <si>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</si>
  <si>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</si>
  <si>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</si>
  <si>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</si>
  <si>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</si>
  <si>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</si>
  <si>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</si>
  <si>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</si>
  <si>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</si>
  <si>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</si>
  <si>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</si>
  <si>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</si>
  <si>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</si>
  <si>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</si>
  <si>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</si>
  <si>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</si>
  <si>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</si>
  <si>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</si>
  <si>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</si>
  <si>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</si>
  <si>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</si>
  <si>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</si>
  <si>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</si>
  <si>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</si>
  <si>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</si>
  <si>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</si>
  <si>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</si>
  <si>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</si>
  <si>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</si>
  <si>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</si>
  <si>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</si>
  <si>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</si>
  <si>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</si>
  <si>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</si>
  <si>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</si>
  <si>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</si>
  <si>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</si>
  <si>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</si>
  <si>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</si>
  <si>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</si>
  <si>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</si>
  <si>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</si>
  <si>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</si>
  <si>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</si>
  <si>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</si>
  <si>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</si>
  <si>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</si>
  <si>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</si>
  <si>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</si>
  <si>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</si>
  <si>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</si>
  <si>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</si>
  <si>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</si>
  <si>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</si>
  <si>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</si>
  <si>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</si>
  <si>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</si>
  <si>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</si>
  <si>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</si>
  <si>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</si>
  <si>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</si>
  <si>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</si>
  <si>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</si>
  <si>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</si>
  <si>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</si>
  <si>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</si>
  <si>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</si>
  <si>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</si>
  <si>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</si>
  <si>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</si>
  <si>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</si>
  <si>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</si>
  <si>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</si>
  <si>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</si>
  <si>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</si>
  <si>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</si>
  <si>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</si>
  <si>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</si>
  <si>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</si>
  <si>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</si>
  <si>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</si>
  <si>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</si>
  <si>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</si>
  <si>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</si>
  <si>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</si>
  <si>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</si>
  <si>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</si>
  <si>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</si>
  <si>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</si>
  <si>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</si>
  <si>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</si>
  <si>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</si>
  <si>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</si>
  <si>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</si>
  <si>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</si>
  <si>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</si>
  <si>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</si>
  <si>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</si>
  <si>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</si>
  <si>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</si>
  <si>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</si>
  <si>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</si>
  <si>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</si>
  <si>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</si>
  <si>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</si>
  <si>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</si>
  <si>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</si>
  <si>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</si>
  <si>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</si>
  <si>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</si>
  <si>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</si>
  <si>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</si>
  <si>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</si>
  <si>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</si>
  <si>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</si>
  <si>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</si>
  <si>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</si>
  <si>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</si>
  <si>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</si>
  <si>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</si>
  <si>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</si>
  <si>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</si>
  <si>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</si>
  <si>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</si>
  <si>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</si>
  <si>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</si>
  <si>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</si>
  <si>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</si>
  <si>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</si>
  <si>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</si>
  <si>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</si>
  <si>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</si>
  <si>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</si>
  <si>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</si>
  <si>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</si>
  <si>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</si>
  <si>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</si>
  <si>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</si>
  <si>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</si>
  <si>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</si>
  <si>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</si>
  <si>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</si>
  <si>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</si>
  <si>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</si>
  <si>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</si>
  <si>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</si>
  <si>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</si>
  <si>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</si>
  <si>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</si>
  <si>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</si>
  <si>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</si>
  <si>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</si>
  <si>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</si>
  <si>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</si>
  <si>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</si>
  <si>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</si>
  <si>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</si>
  <si>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</si>
  <si>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</si>
  <si>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</si>
  <si>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</si>
  <si>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</si>
  <si>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</si>
  <si>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</si>
  <si>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</si>
  <si>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</si>
  <si>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</si>
  <si>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</si>
  <si>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</si>
  <si>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</si>
  <si>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</si>
  <si>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</si>
  <si>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</si>
  <si>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</si>
  <si>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</si>
  <si>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</si>
  <si>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</si>
  <si>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</si>
  <si>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</si>
  <si>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</si>
  <si>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</si>
  <si>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</si>
  <si>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</si>
  <si>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</si>
  <si>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</si>
  <si>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</si>
  <si>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</si>
  <si>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</si>
  <si>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</si>
  <si>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</si>
  <si>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</si>
  <si>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</si>
  <si>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</si>
  <si>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</si>
  <si>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</si>
  <si>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</si>
  <si>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</si>
  <si>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</si>
  <si>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</si>
  <si>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</si>
  <si>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</si>
  <si>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</si>
  <si>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</si>
  <si>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</si>
  <si>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</si>
  <si>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</si>
  <si>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</si>
  <si>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</si>
  <si>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</si>
  <si>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</si>
  <si>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</si>
  <si>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</si>
  <si>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</si>
  <si>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</si>
  <si>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</si>
  <si>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</si>
  <si>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</si>
  <si>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</si>
  <si>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</si>
  <si>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</si>
  <si>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</si>
  <si>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</si>
  <si>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</si>
  <si>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</si>
  <si>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</si>
  <si>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</si>
  <si>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</si>
  <si>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</si>
  <si>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</si>
  <si>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</si>
  <si>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</si>
  <si>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</si>
  <si>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</si>
  <si>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</si>
  <si>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</si>
  <si>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</si>
  <si>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</si>
  <si>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</si>
  <si>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</si>
  <si>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</si>
  <si>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</si>
  <si>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</si>
  <si>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</si>
  <si>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</si>
  <si>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</si>
  <si>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</si>
  <si>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</si>
  <si>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</si>
  <si>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</si>
  <si>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</si>
  <si>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</si>
  <si>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</si>
  <si>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</si>
  <si>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</si>
  <si>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</si>
  <si>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</si>
  <si>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</si>
  <si>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</si>
  <si>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</si>
  <si>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</si>
  <si>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</si>
  <si>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</si>
  <si>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</si>
  <si>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</si>
  <si>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</si>
  <si>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</si>
  <si>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</si>
  <si>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</si>
  <si>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</si>
  <si>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</si>
  <si>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</si>
  <si>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</si>
  <si>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</si>
  <si>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</si>
  <si>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</si>
  <si>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</si>
  <si>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</si>
  <si>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</si>
  <si>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</si>
  <si>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</si>
  <si>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</si>
  <si>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</si>
  <si>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</si>
  <si>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</si>
  <si>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</si>
  <si>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</si>
  <si>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</si>
  <si>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</si>
  <si>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</si>
  <si>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</si>
  <si>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</si>
  <si>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</si>
  <si>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</si>
  <si>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</si>
  <si>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</si>
  <si>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</si>
  <si>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</si>
  <si>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</si>
  <si>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</si>
  <si>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</si>
  <si>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</si>
  <si>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</si>
  <si>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</si>
  <si>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</si>
  <si>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</si>
  <si>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</si>
  <si>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</si>
  <si>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</si>
  <si>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</si>
  <si>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</si>
  <si>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</si>
  <si>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</si>
  <si>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</si>
  <si>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</si>
  <si>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</si>
  <si>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</si>
  <si>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</si>
  <si>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</si>
  <si>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</si>
  <si>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</si>
  <si>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</si>
  <si>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</si>
  <si>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</si>
  <si>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</si>
  <si>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</si>
  <si>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</si>
  <si>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</si>
  <si>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</si>
  <si>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</si>
  <si>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</si>
  <si>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</si>
  <si>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</si>
  <si>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</si>
  <si>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</si>
  <si>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</si>
  <si>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</si>
  <si>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</si>
  <si>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</si>
  <si>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</si>
  <si>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</si>
  <si>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</si>
  <si>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</si>
  <si>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</si>
  <si>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</si>
  <si>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</si>
  <si>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</si>
  <si>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</si>
  <si>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</si>
  <si>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</si>
  <si>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</si>
  <si>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</si>
  <si>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</si>
  <si>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</si>
  <si>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</si>
  <si>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</si>
  <si>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</si>
  <si>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</si>
  <si>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</si>
  <si>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</si>
  <si>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</si>
  <si>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</si>
  <si>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</si>
  <si>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</si>
  <si>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</si>
  <si>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</si>
  <si>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</si>
  <si>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</si>
  <si>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</si>
  <si>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</si>
  <si>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</si>
  <si>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</si>
  <si>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</si>
  <si>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</si>
  <si>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</si>
  <si>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</si>
  <si>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</si>
  <si>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</si>
  <si>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</si>
  <si>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</si>
  <si>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</si>
  <si>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</si>
  <si>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</si>
  <si>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</si>
  <si>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</si>
  <si>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</si>
  <si>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</si>
  <si>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</si>
  <si>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</si>
  <si>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</si>
  <si>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</si>
  <si>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</si>
  <si>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</si>
  <si>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</si>
  <si>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</si>
  <si>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</si>
  <si>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</si>
  <si>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</si>
  <si>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</si>
  <si>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</si>
  <si>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</si>
  <si>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</si>
  <si>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</si>
  <si>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</si>
  <si>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</si>
  <si>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</si>
  <si>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</si>
  <si>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</si>
  <si>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</si>
  <si>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</si>
  <si>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</si>
  <si>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</si>
  <si>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</si>
  <si>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</si>
  <si>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</si>
  <si>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</si>
  <si>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</si>
  <si>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</si>
  <si>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</si>
  <si>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</si>
  <si>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</si>
  <si>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</si>
  <si>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</si>
  <si>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</si>
  <si>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</si>
  <si>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</si>
  <si>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</si>
  <si>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</si>
  <si>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</si>
  <si>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</si>
  <si>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</si>
  <si>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</si>
  <si>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</si>
  <si>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</si>
  <si>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</si>
  <si>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</si>
  <si>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</si>
  <si>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</si>
  <si>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</si>
  <si>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</si>
  <si>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</si>
  <si>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</si>
  <si>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</si>
  <si>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</si>
  <si>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</si>
  <si>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</si>
  <si>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</si>
  <si>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</si>
  <si>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</si>
  <si>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</si>
  <si>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</si>
  <si>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</si>
  <si>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</si>
  <si>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</si>
  <si>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</si>
  <si>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</si>
  <si>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</si>
  <si>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</si>
  <si>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</si>
  <si>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</si>
  <si>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</si>
  <si>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</si>
  <si>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</si>
  <si>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</si>
  <si>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</si>
  <si>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</si>
  <si>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</si>
  <si>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</si>
  <si>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</si>
  <si>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</si>
  <si>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</si>
  <si>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</si>
  <si>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</si>
  <si>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</si>
  <si>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</si>
  <si>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</si>
  <si>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</si>
  <si>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</si>
  <si>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</si>
  <si>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</si>
  <si>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</si>
  <si>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</si>
  <si>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</si>
  <si>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</si>
  <si>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</si>
  <si>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</si>
  <si>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</si>
  <si>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</si>
  <si>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</si>
  <si>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</si>
  <si>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</si>
  <si>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</si>
  <si>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</si>
  <si>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</si>
  <si>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</si>
  <si>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</si>
  <si>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</si>
  <si>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</si>
  <si>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</si>
  <si>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</si>
  <si>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</si>
  <si>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</si>
  <si>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</si>
  <si>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</si>
  <si>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</si>
  <si>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</si>
  <si>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</si>
  <si>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</si>
  <si>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</si>
  <si>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</si>
  <si>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</si>
  <si>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</si>
  <si>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</si>
  <si>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</si>
  <si>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</si>
  <si>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</si>
  <si>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</si>
  <si>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</si>
  <si>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</si>
  <si>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</si>
  <si>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</si>
  <si>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</si>
  <si>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</si>
  <si>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</si>
  <si>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</si>
  <si>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</si>
  <si>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</si>
  <si>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</si>
  <si>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</si>
  <si>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</si>
  <si>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</si>
  <si>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</si>
  <si>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</si>
  <si>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</si>
  <si>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</si>
  <si>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</si>
  <si>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</si>
  <si>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</si>
  <si>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</si>
  <si>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</si>
  <si>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</si>
  <si>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</si>
  <si>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</si>
  <si>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</si>
  <si>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</si>
  <si>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</si>
  <si>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</si>
  <si>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</si>
  <si>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</si>
  <si>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</si>
  <si>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</si>
  <si>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</si>
  <si>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</si>
  <si>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</si>
  <si>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</si>
  <si>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</si>
  <si>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</si>
  <si>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</si>
  <si>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</si>
  <si>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</si>
  <si>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</si>
  <si>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</si>
  <si>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</si>
  <si>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</si>
  <si>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</si>
  <si>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</si>
  <si>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</si>
  <si>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</si>
  <si>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</si>
  <si>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</si>
  <si>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</si>
  <si>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</si>
  <si>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</si>
  <si>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</si>
  <si>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</si>
  <si>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</si>
  <si>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</si>
  <si>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</si>
  <si>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</si>
  <si>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</si>
  <si>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</si>
  <si>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</si>
  <si>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</si>
  <si>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</si>
  <si>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</si>
  <si>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</si>
  <si>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</si>
  <si>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</si>
  <si>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</si>
  <si>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</si>
  <si>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</si>
  <si>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</si>
  <si>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</si>
  <si>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</si>
  <si>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</si>
  <si>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</si>
  <si>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</si>
  <si>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</si>
  <si>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</si>
  <si>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</si>
  <si>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</si>
  <si>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</si>
  <si>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</si>
  <si>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</si>
  <si>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</si>
  <si>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</si>
  <si>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</si>
  <si>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</si>
  <si>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</si>
  <si>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</si>
  <si>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</si>
  <si>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</si>
  <si>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</si>
  <si>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</si>
  <si>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</si>
  <si>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</si>
  <si>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</si>
  <si>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</si>
  <si>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</si>
  <si>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</si>
  <si>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</si>
  <si>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</si>
  <si>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</si>
  <si>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</si>
  <si>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</si>
  <si>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</si>
  <si>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</si>
  <si>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</si>
  <si>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</si>
  <si>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</si>
  <si>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</si>
  <si>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</si>
  <si>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</si>
  <si>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</si>
  <si>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</si>
  <si>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</si>
  <si>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</si>
  <si>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</si>
  <si>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</si>
  <si>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</si>
  <si>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</si>
  <si>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</si>
  <si>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</si>
  <si>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</si>
  <si>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</si>
  <si>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</si>
  <si>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</si>
  <si>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</si>
  <si>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</si>
  <si>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</si>
  <si>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</si>
  <si>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</si>
  <si>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</si>
  <si>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</si>
  <si>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</si>
  <si>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</si>
  <si>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</si>
  <si>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</si>
  <si>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</si>
  <si>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</si>
  <si>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</si>
  <si>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</si>
  <si>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</si>
  <si>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</si>
  <si>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</si>
  <si>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</si>
  <si>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</si>
  <si>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</si>
  <si>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</si>
  <si>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</si>
  <si>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</si>
  <si>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</si>
  <si>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</si>
  <si>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</si>
  <si>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</si>
  <si>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</si>
  <si>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</si>
  <si>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</si>
  <si>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</si>
  <si>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</si>
  <si>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</si>
  <si>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</si>
  <si>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</si>
  <si>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</si>
  <si>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</si>
  <si>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</si>
  <si>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</si>
  <si>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</si>
  <si>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</si>
  <si>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</si>
  <si>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</si>
  <si>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</si>
  <si>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</si>
  <si>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</si>
  <si>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</si>
  <si>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</si>
  <si>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</si>
  <si>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</si>
  <si>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</si>
  <si>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</si>
  <si>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</si>
  <si>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</si>
  <si>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</si>
  <si>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</si>
  <si>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</si>
  <si>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</si>
  <si>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</si>
  <si>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</si>
  <si>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</si>
  <si>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</si>
  <si>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</si>
  <si>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</si>
  <si>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</si>
  <si>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</si>
  <si>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</si>
  <si>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</si>
  <si>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</si>
  <si>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</si>
  <si>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</si>
  <si>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</si>
  <si>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</si>
  <si>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</si>
  <si>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</si>
  <si>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</si>
  <si>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</si>
  <si>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</si>
  <si>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</si>
  <si>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</si>
  <si>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</si>
  <si>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</si>
  <si>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</si>
  <si>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</si>
  <si>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</si>
  <si>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</si>
  <si>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</si>
  <si>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</si>
  <si>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</si>
  <si>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</si>
  <si>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</si>
  <si>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</si>
  <si>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</si>
  <si>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</si>
  <si>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</si>
  <si>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</si>
  <si>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</si>
  <si>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</si>
  <si>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</si>
  <si>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</si>
  <si>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</si>
  <si>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</si>
  <si>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</si>
  <si>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</si>
  <si>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</si>
  <si>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</si>
  <si>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</si>
  <si>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</si>
  <si>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</si>
  <si>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</si>
  <si>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</si>
  <si>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</si>
  <si>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</si>
  <si>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</si>
  <si>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</si>
  <si>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</si>
  <si>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</si>
  <si>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</si>
  <si>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</si>
  <si>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</si>
  <si>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</si>
  <si>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</si>
  <si>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</si>
  <si>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</si>
  <si>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</si>
  <si>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</si>
  <si>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</si>
  <si>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</si>
  <si>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</si>
  <si>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</si>
  <si>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</si>
  <si>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</si>
  <si>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</si>
  <si>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</si>
  <si>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</si>
  <si>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</si>
  <si>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</si>
  <si>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</si>
  <si>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</si>
  <si>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</si>
  <si>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</si>
  <si>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</si>
  <si>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</si>
  <si>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</si>
  <si>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</si>
  <si>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</si>
  <si>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</si>
  <si>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</si>
  <si>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</si>
  <si>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</si>
  <si>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</si>
  <si>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</si>
  <si>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</si>
  <si>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</si>
  <si>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</si>
  <si>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</si>
  <si>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</si>
  <si>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</si>
  <si>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</si>
  <si>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</si>
  <si>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</si>
  <si>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</si>
  <si>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</si>
  <si>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</si>
  <si>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</si>
  <si>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</si>
  <si>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</si>
  <si>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</si>
  <si>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</si>
  <si>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</si>
  <si>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</si>
  <si>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</si>
  <si>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</si>
  <si>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</si>
  <si>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</si>
  <si>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</si>
  <si>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</si>
  <si>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</si>
  <si>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</si>
  <si>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</si>
  <si>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</si>
  <si>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</si>
  <si>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</si>
  <si>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</si>
  <si>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</si>
  <si>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</si>
  <si>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</si>
  <si>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</si>
  <si>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</si>
  <si>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</si>
  <si>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</si>
  <si>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</si>
  <si>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</si>
  <si>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</si>
  <si>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</si>
  <si>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</si>
  <si>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</si>
  <si>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</si>
  <si>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</si>
  <si>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</si>
  <si>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</si>
  <si>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</si>
  <si>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</si>
  <si>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</si>
  <si>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</si>
  <si>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</si>
  <si>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</si>
  <si>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</si>
  <si>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</si>
  <si>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</si>
  <si>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</si>
  <si>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</si>
  <si>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</si>
  <si>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</si>
  <si>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</si>
  <si>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</si>
  <si>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</si>
  <si>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</si>
  <si>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</si>
  <si>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</si>
  <si>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</si>
  <si>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</si>
  <si>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</si>
  <si>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</si>
  <si>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</si>
  <si>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</si>
  <si>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</si>
  <si>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</si>
  <si>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</si>
  <si>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</si>
  <si>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</si>
  <si>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</si>
  <si>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</si>
  <si>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</si>
  <si>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</si>
  <si>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</si>
  <si>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</si>
  <si>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</si>
  <si>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</si>
  <si>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</si>
  <si>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</si>
  <si>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</si>
  <si>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</si>
  <si>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</si>
  <si>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</si>
  <si>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</si>
  <si>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</si>
  <si>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</si>
  <si>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</si>
  <si>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</si>
  <si>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</si>
  <si>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</si>
  <si>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</si>
  <si>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</si>
  <si>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</si>
  <si>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</si>
  <si>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</si>
  <si>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</si>
  <si>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</si>
  <si>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</si>
  <si>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</si>
  <si>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</si>
  <si>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</si>
  <si>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</si>
  <si>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</si>
  <si>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</si>
  <si>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</si>
  <si>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</si>
  <si>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</si>
  <si>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</si>
  <si>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</si>
  <si>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</si>
  <si>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</si>
  <si>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</si>
  <si>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</si>
  <si>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</si>
  <si>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</si>
  <si>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</si>
  <si>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</si>
  <si>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</si>
  <si>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</si>
  <si>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</si>
  <si>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</si>
  <si>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</si>
  <si>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</si>
  <si>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</si>
  <si>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</si>
  <si>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</si>
  <si>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</si>
  <si>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</si>
  <si>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</si>
  <si>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</si>
  <si>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</si>
  <si>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</si>
  <si>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</si>
  <si>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</si>
  <si>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</si>
  <si>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</si>
  <si>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</si>
  <si>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</si>
  <si>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</si>
  <si>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</si>
  <si>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</si>
  <si>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</si>
  <si>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</si>
  <si>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</si>
  <si>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</si>
  <si>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</si>
  <si>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</si>
  <si>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</si>
  <si>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</si>
  <si>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</si>
  <si>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</si>
  <si>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</si>
  <si>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</si>
  <si>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</si>
  <si>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</si>
  <si>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</si>
  <si>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</si>
  <si>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</si>
  <si>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</si>
  <si>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</si>
  <si>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</si>
  <si>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</si>
  <si>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</si>
  <si>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</si>
  <si>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</si>
  <si>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</si>
  <si>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</si>
  <si>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</si>
  <si>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</si>
  <si>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</si>
  <si>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</si>
  <si>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</si>
  <si>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</si>
  <si>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</si>
  <si>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</si>
  <si>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</si>
  <si>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</si>
  <si>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</si>
  <si>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</si>
  <si>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</si>
  <si>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</si>
  <si>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</si>
  <si>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</si>
  <si>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</si>
  <si>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</si>
  <si>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</si>
  <si>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</si>
  <si>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</si>
  <si>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</si>
  <si>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</si>
  <si>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</si>
  <si>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</si>
  <si>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</si>
  <si>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</si>
  <si>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</si>
  <si>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</si>
  <si>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</si>
  <si>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</si>
  <si>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</si>
  <si>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</si>
  <si>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</si>
  <si>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</si>
  <si>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</si>
  <si>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</si>
  <si>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</si>
  <si>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</si>
  <si>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</si>
  <si>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</si>
  <si>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</si>
  <si>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</si>
  <si>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</si>
  <si>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</si>
  <si>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</si>
  <si>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</si>
  <si>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</si>
  <si>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</si>
  <si>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</si>
  <si>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</si>
  <si>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</si>
  <si>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</si>
  <si>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</si>
  <si>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</si>
  <si>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</si>
  <si>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</si>
  <si>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</si>
  <si>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</si>
  <si>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</si>
  <si>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</si>
  <si>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</si>
  <si>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</si>
  <si>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</si>
  <si>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</si>
  <si>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</si>
  <si>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</si>
  <si>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</si>
  <si>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</si>
  <si>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</si>
  <si>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</si>
  <si>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</si>
  <si>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</si>
  <si>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</si>
  <si>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</si>
  <si>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</si>
  <si>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</si>
  <si>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</si>
  <si>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</si>
  <si>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</si>
  <si>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</si>
  <si>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</si>
  <si>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</si>
  <si>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</si>
  <si>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</si>
  <si>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</si>
  <si>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</si>
  <si>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</si>
  <si>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</si>
  <si>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</si>
  <si>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</si>
  <si>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</si>
  <si>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</si>
  <si>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</si>
  <si>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</si>
  <si>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</si>
  <si>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</si>
  <si>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</si>
  <si>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</si>
  <si>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</si>
  <si>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</si>
  <si>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</si>
  <si>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</si>
  <si>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</si>
  <si>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</si>
  <si>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</si>
  <si>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</si>
  <si>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</si>
  <si>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</si>
  <si>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</si>
  <si>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</si>
  <si>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</si>
  <si>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</si>
  <si>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</si>
  <si>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</si>
  <si>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</si>
  <si>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</si>
  <si>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</si>
  <si>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</si>
  <si>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</si>
  <si>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</si>
  <si>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</si>
  <si>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</si>
  <si>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</si>
  <si>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</si>
  <si>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</si>
  <si>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</si>
  <si>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</si>
  <si>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</si>
  <si>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</si>
  <si>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</si>
  <si>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</si>
  <si>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</si>
  <si>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</si>
  <si>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</si>
  <si>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</si>
  <si>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</si>
  <si>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</si>
  <si>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</si>
  <si>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</si>
  <si>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</si>
  <si>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</si>
  <si>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</si>
  <si>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</si>
  <si>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</si>
  <si>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</si>
  <si>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</si>
  <si>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</si>
  <si>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</si>
  <si>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</si>
  <si>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</si>
  <si>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</si>
  <si>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</si>
  <si>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</si>
  <si>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</si>
  <si>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</si>
  <si>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</si>
  <si>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</si>
  <si>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</si>
  <si>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</si>
  <si>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</si>
  <si>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</si>
  <si>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</si>
  <si>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</si>
  <si>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</si>
  <si>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</si>
  <si>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</si>
  <si>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</si>
  <si>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</si>
  <si>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</si>
  <si>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</si>
  <si>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</si>
  <si>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</si>
  <si>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</si>
  <si>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</si>
  <si>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</si>
  <si>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</si>
  <si>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</si>
  <si>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</si>
  <si>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</si>
  <si>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</si>
  <si>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</si>
  <si>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</si>
  <si>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</si>
  <si>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</si>
  <si>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</si>
  <si>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</si>
  <si>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</si>
  <si>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</si>
  <si>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</si>
  <si>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</si>
  <si>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</si>
  <si>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</si>
  <si>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</si>
  <si>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</si>
  <si>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</si>
  <si>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</si>
  <si>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</si>
  <si>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</si>
  <si>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</si>
  <si>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</si>
  <si>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</si>
  <si>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</si>
  <si>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</si>
  <si>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</si>
  <si>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</si>
  <si>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</si>
  <si>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</si>
  <si>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</si>
  <si>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</si>
  <si>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</si>
  <si>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</si>
  <si>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</si>
  <si>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</si>
  <si>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</si>
  <si>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</si>
  <si>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</si>
  <si>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</si>
  <si>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</si>
  <si>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</si>
  <si>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</si>
  <si>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</si>
  <si>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</si>
  <si>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</si>
  <si>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</si>
  <si>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</si>
  <si>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</si>
  <si>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</si>
  <si>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</si>
  <si>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</si>
  <si>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</si>
  <si>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</si>
  <si>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</si>
  <si>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</si>
  <si>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</si>
  <si>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</si>
  <si>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</si>
  <si>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</si>
  <si>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</si>
  <si>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</si>
  <si>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</si>
  <si>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</si>
  <si>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</si>
  <si>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</si>
  <si>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</si>
  <si>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</si>
  <si>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</si>
  <si>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</si>
  <si>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</si>
  <si>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</si>
  <si>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</si>
  <si>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</si>
  <si>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</si>
  <si>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</si>
  <si>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</si>
  <si>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</si>
  <si>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</si>
  <si>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</si>
  <si>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</si>
  <si>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</si>
  <si>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</si>
  <si>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</si>
  <si>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</si>
  <si>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</si>
  <si>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</si>
  <si>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</si>
  <si>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</si>
  <si>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</si>
  <si>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</si>
  <si>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</si>
  <si>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</si>
  <si>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</si>
  <si>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</si>
  <si>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</si>
  <si>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</si>
  <si>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</si>
  <si>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</si>
  <si>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</si>
  <si>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</si>
  <si>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</si>
  <si>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</si>
  <si>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</si>
  <si>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</si>
  <si>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</si>
  <si>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</si>
  <si>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</si>
  <si>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</si>
  <si>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</si>
  <si>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</si>
  <si>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</si>
  <si>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</si>
  <si>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</si>
  <si>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</si>
  <si>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</si>
  <si>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</si>
  <si>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</si>
  <si>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</si>
  <si>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</si>
  <si>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</si>
  <si>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</si>
  <si>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</si>
  <si>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</si>
  <si>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</si>
  <si>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</si>
  <si>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</si>
  <si>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</si>
  <si>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</si>
  <si>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</si>
  <si>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</si>
  <si>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</si>
  <si>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</si>
  <si>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</si>
  <si>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</si>
  <si>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</si>
  <si>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</si>
  <si>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</si>
  <si>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</si>
  <si>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</si>
  <si>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</si>
  <si>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</si>
  <si>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</si>
  <si>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</si>
  <si>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</si>
  <si>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</si>
  <si>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</si>
  <si>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</si>
  <si>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</si>
  <si>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</si>
  <si>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</si>
  <si>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</si>
  <si>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</si>
  <si>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</si>
  <si>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</si>
  <si>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</si>
  <si>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</si>
  <si>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</si>
  <si>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</si>
  <si>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</si>
  <si>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</si>
  <si>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</si>
  <si>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</si>
  <si>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</si>
  <si>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</si>
  <si>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</si>
  <si>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</si>
  <si>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</si>
  <si>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</si>
  <si>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</si>
  <si>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</si>
  <si>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</si>
  <si>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</si>
  <si>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</si>
  <si>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</si>
  <si>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</si>
  <si>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</si>
  <si>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</si>
  <si>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</si>
  <si>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</si>
  <si>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</si>
  <si>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</si>
  <si>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</si>
  <si>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</si>
  <si>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</si>
  <si>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</si>
  <si>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</si>
  <si>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</si>
  <si>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</si>
  <si>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</si>
  <si>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</si>
  <si>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</si>
  <si>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</si>
  <si>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</si>
  <si>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</si>
  <si>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</si>
  <si>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</si>
  <si>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</si>
  <si>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</si>
  <si>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</si>
  <si>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</si>
  <si>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</si>
  <si>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</si>
  <si>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</si>
  <si>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</si>
  <si>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</si>
  <si>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</si>
  <si>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</si>
  <si>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</si>
  <si>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</si>
  <si>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</si>
  <si>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</si>
  <si>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</si>
  <si>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</si>
  <si>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</si>
  <si>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</si>
  <si>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</si>
  <si>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</si>
  <si>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</si>
  <si>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</si>
  <si>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</si>
  <si>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</si>
  <si>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</si>
  <si>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</si>
  <si>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</si>
  <si>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</si>
  <si>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</si>
  <si>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</si>
  <si>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</si>
  <si>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</si>
  <si>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</si>
  <si>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</si>
  <si>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</si>
  <si>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</si>
  <si>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</si>
  <si>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</si>
  <si>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</si>
  <si>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</si>
  <si>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</si>
  <si>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</si>
  <si>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</si>
  <si>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</si>
  <si>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</si>
  <si>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</si>
  <si>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</si>
  <si>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</si>
  <si>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</si>
  <si>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</si>
  <si>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</si>
  <si>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</si>
  <si>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</si>
  <si>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</si>
  <si>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</si>
  <si>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</si>
  <si>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</si>
  <si>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</si>
  <si>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</si>
  <si>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</si>
  <si>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</si>
  <si>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</si>
  <si>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</si>
  <si>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</si>
  <si>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</si>
  <si>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</si>
  <si>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</si>
  <si>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</si>
  <si>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</si>
  <si>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</si>
  <si>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</si>
  <si>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</si>
  <si>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</si>
  <si>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</si>
  <si>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</si>
  <si>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</si>
  <si>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</si>
  <si>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</si>
  <si>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</si>
  <si>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</si>
  <si>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</si>
  <si>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</si>
  <si>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</si>
  <si>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</si>
  <si>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</si>
  <si>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</si>
  <si>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</si>
  <si>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</si>
  <si>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</si>
  <si>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</si>
  <si>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</si>
  <si>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</si>
  <si>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</si>
  <si>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</si>
  <si>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</si>
  <si>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</si>
  <si>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</si>
  <si>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</si>
  <si>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</si>
  <si>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</si>
  <si>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</si>
  <si>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</si>
  <si>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</si>
  <si>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</si>
  <si>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</si>
  <si>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</si>
  <si>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</si>
  <si>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</si>
  <si>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</si>
  <si>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</si>
  <si>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</si>
  <si>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</si>
  <si>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</si>
  <si>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</si>
  <si>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</si>
  <si>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</si>
  <si>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</si>
  <si>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</si>
  <si>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</si>
  <si>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</si>
  <si>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</si>
  <si>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</si>
  <si>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</si>
  <si>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</si>
  <si>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</si>
  <si>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</si>
  <si>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</si>
  <si>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</si>
  <si>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</si>
  <si>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</si>
  <si>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</si>
  <si>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</si>
  <si>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</si>
  <si>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</si>
  <si>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</si>
  <si>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</si>
  <si>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</si>
  <si>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</si>
  <si>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</si>
  <si>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</si>
  <si>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</si>
  <si>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</si>
  <si>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</si>
  <si>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</si>
  <si>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</si>
  <si>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</si>
  <si>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</si>
  <si>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</si>
  <si>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</si>
  <si>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</si>
  <si>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</si>
  <si>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</si>
  <si>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</si>
  <si>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</si>
  <si>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</si>
  <si>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</si>
  <si>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</si>
  <si>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</si>
  <si>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</si>
  <si>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</si>
  <si>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</si>
  <si>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</si>
  <si>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</si>
  <si>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</si>
  <si>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</si>
  <si>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</si>
  <si>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</si>
  <si>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</si>
  <si>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</si>
  <si>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</si>
  <si>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</si>
  <si>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</si>
  <si>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</si>
  <si>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</si>
  <si>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</si>
  <si>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</si>
  <si>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</si>
  <si>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</si>
  <si>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</si>
  <si>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</si>
  <si>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</si>
  <si>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</si>
  <si>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</si>
  <si>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</si>
  <si>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</si>
  <si>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</si>
  <si>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</si>
  <si>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</si>
  <si>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</si>
  <si>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</si>
  <si>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</si>
  <si>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</si>
  <si>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</si>
  <si>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</si>
  <si>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</si>
  <si>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</si>
  <si>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</si>
  <si>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</si>
  <si>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</si>
  <si>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</si>
  <si>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</si>
  <si>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</si>
  <si>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</si>
  <si>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</si>
  <si>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</si>
  <si>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</si>
  <si>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</si>
  <si>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</si>
  <si>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</si>
  <si>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</si>
  <si>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</si>
  <si>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</si>
  <si>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</si>
  <si>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</si>
  <si>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</si>
  <si>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</si>
  <si>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</si>
  <si>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</si>
  <si>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</si>
  <si>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</si>
  <si>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</si>
  <si>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</si>
  <si>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</si>
  <si>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</si>
  <si>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</si>
  <si>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</si>
  <si>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</si>
  <si>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</si>
  <si>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</si>
  <si>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</si>
  <si>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</si>
  <si>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</si>
  <si>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</si>
  <si>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</si>
  <si>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</si>
  <si>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</si>
  <si>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</si>
  <si>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</si>
  <si>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</si>
  <si>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</si>
  <si>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</si>
  <si>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</si>
  <si>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</si>
  <si>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</si>
  <si>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</si>
  <si>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</si>
  <si>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</si>
  <si>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</si>
  <si>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</si>
  <si>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</si>
  <si>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</si>
  <si>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</si>
  <si>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</si>
  <si>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</si>
  <si>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</si>
  <si>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</si>
  <si>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</si>
  <si>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</si>
  <si>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</si>
  <si>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</si>
  <si>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</si>
  <si>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</si>
  <si>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</si>
  <si>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</si>
  <si>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</si>
  <si>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</si>
  <si>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</si>
  <si>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</si>
  <si>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</si>
  <si>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</si>
  <si>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</si>
  <si>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</si>
  <si>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</si>
  <si>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</si>
  <si>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</si>
  <si>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</si>
  <si>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</si>
  <si>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</si>
  <si>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</si>
  <si>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</si>
  <si>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</si>
  <si>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</si>
  <si>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</si>
  <si>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</si>
  <si>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</si>
  <si>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</si>
  <si>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</si>
  <si>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</si>
  <si>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</si>
  <si>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</si>
  <si>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</si>
  <si>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</si>
  <si>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</si>
  <si>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</si>
  <si>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</si>
  <si>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</si>
  <si>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</si>
  <si>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</si>
  <si>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</si>
  <si>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</si>
  <si>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</si>
  <si>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</si>
  <si>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</si>
  <si>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</si>
  <si>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</si>
  <si>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</si>
  <si>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</si>
  <si>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</si>
  <si>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</si>
  <si>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</si>
  <si>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</si>
  <si>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</si>
  <si>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</si>
  <si>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</si>
  <si>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</si>
  <si>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</si>
  <si>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</si>
  <si>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</si>
  <si>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</si>
  <si>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</si>
  <si>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</si>
  <si>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</si>
  <si>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</si>
  <si>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</si>
  <si>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</si>
  <si>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</si>
  <si>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</si>
  <si>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</si>
  <si>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</si>
  <si>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</si>
  <si>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</si>
  <si>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</si>
  <si>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</si>
  <si>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</si>
  <si>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</si>
  <si>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</si>
  <si>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</si>
  <si>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</si>
  <si>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</si>
  <si>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</si>
  <si>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</si>
  <si>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</si>
  <si>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</si>
  <si>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</si>
  <si>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</si>
  <si>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</si>
  <si>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</si>
  <si>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</si>
  <si>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</si>
  <si>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</si>
  <si>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</si>
  <si>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</si>
  <si>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</si>
  <si>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</si>
  <si>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</si>
  <si>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</si>
  <si>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</si>
  <si>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</si>
  <si>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</si>
  <si>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</si>
  <si>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</si>
  <si>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</si>
  <si>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</si>
  <si>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</si>
  <si>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</si>
  <si>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</si>
  <si>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</si>
  <si>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</si>
  <si>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</si>
  <si>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</si>
  <si>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</si>
  <si>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</si>
  <si>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</si>
  <si>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</si>
  <si>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</si>
  <si>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</si>
  <si>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</si>
  <si>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</si>
  <si>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</si>
  <si>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</si>
  <si>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</si>
  <si>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</si>
  <si>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</si>
  <si>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</si>
  <si>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</si>
  <si>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</si>
  <si>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</si>
  <si>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</si>
  <si>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</si>
  <si>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</si>
  <si>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</si>
  <si>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</si>
  <si>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</si>
  <si>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</si>
  <si>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</si>
  <si>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</si>
  <si>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</si>
  <si>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</si>
  <si>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</si>
  <si>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</si>
  <si>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</si>
  <si>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</si>
  <si>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</si>
  <si>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</si>
  <si>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</si>
  <si>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</si>
  <si>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</si>
  <si>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</si>
  <si>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</si>
  <si>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</si>
  <si>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</si>
  <si>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</si>
  <si>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</si>
  <si>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</si>
  <si>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</si>
  <si>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</si>
  <si>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</si>
  <si>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</si>
  <si>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</si>
  <si>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</si>
  <si>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</si>
  <si>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</si>
  <si>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</si>
  <si>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</si>
  <si>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</si>
  <si>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</si>
  <si>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</si>
  <si>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</si>
  <si>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</si>
  <si>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</si>
  <si>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Beussink, Hey, Roe &amp; Stroder, L.L.C.</t>
  </si>
  <si>
    <t>Jeffrey C. Stroder, CPA</t>
  </si>
  <si>
    <t>Johnson, Alexander, Massac, Pulaski, Union</t>
  </si>
  <si>
    <t>Second &amp; Washington Street</t>
  </si>
  <si>
    <t>Tamms</t>
  </si>
  <si>
    <t>patrictharner@fivecountyrvs.com</t>
  </si>
  <si>
    <t>16 South Silver Springs Road</t>
  </si>
  <si>
    <t>Cape Girardeau</t>
  </si>
  <si>
    <t>MO</t>
  </si>
  <si>
    <t>573-334-7971</t>
  </si>
  <si>
    <t>573-334-8875</t>
  </si>
  <si>
    <t>066-003889</t>
  </si>
  <si>
    <t>jstroder@bhrcpas.com</t>
  </si>
  <si>
    <t>Section 105 ILCS 5/34-48 prohibits the Board from making expenditures above the amount provided for in the budget.</t>
  </si>
  <si>
    <t>Actual expenditures of the Educational Fund exceeded budgetary limits by $13,722.</t>
  </si>
  <si>
    <t>The total budget for expenditures in the Educational Fund was $798,355.</t>
  </si>
  <si>
    <t>The District recognized expenditures in excess of budgetary limits.</t>
  </si>
  <si>
    <t>The District did not budget for all anticipated expenses.</t>
  </si>
  <si>
    <t>The District should budget for all anticipated expenditures, monitor the budget more closely, and amend the budget if necessary, in accordance with the provisions outlined in the statutes.</t>
  </si>
  <si>
    <t>None FY2018</t>
  </si>
  <si>
    <t>2017-001</t>
  </si>
  <si>
    <t>revenue instead of their respective accounts.</t>
  </si>
  <si>
    <t xml:space="preserve">funds were incorrectly coded to miscellaneous </t>
  </si>
  <si>
    <t xml:space="preserve">$27,795 of Perkins funds and $35,477 of CTEI </t>
  </si>
  <si>
    <t>Page 10, Line 107 - Fund 10 - Other Local Revenues (1999):</t>
  </si>
  <si>
    <t>Page 13, Line 227 - Fund 10 - CTE Other (4799):</t>
  </si>
  <si>
    <t>V.E. Perkins - Title IIC Secondary (4745)</t>
  </si>
  <si>
    <t>Union County CEO Program</t>
  </si>
  <si>
    <t>x</t>
  </si>
  <si>
    <t xml:space="preserve">The District will monitor our expenditures more closely near year end. If additional sources of monies become available during the year that were not planned for in the initial budget, we will amend the budget in accordance with the statutory requirements before the expenditures are made. </t>
  </si>
  <si>
    <t xml:space="preserve">                                      Implemented.</t>
  </si>
  <si>
    <t>The financial statements are presented in a format that complies with regulatory provisions by the Illinois State Board of Education, whose practices differ from accounting principles generally accepted in the United States of America.  In addition, the notes to the financial statements do not include the note disclosures required by GASB Statement No. 75 for one of the school's two defined contribution OPEB plans.</t>
  </si>
  <si>
    <t>Five County RVS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</si>
</sst>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181" fontId="137" fillId="0" borderId="0" xfId="19"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38100</xdr:rowOff>
        </xdr:from>
        <xdr:to>
          <xdr:col>1</xdr:col>
          <xdr:colOff>790575</xdr:colOff>
          <xdr:row>5</xdr:row>
          <xdr:rowOff>66675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DDFFAAA-16CF-4923-80EF-DC68D5EF84B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isbe.net/Pages/ebfdistribution.aspx"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c r="C5" s="26" t="s">
        <v>966</v>
      </c>
      <c r="D5" s="84"/>
      <c r="E5" s="84"/>
      <c r="H5" s="38"/>
      <c r="I5" s="2008" t="s">
        <v>701</v>
      </c>
      <c r="J5" s="2007"/>
      <c r="K5" s="2007"/>
      <c r="L5" s="2007"/>
      <c r="M5" s="2007"/>
      <c r="N5" s="2007"/>
      <c r="O5" s="2007"/>
      <c r="P5" s="2007"/>
      <c r="Q5" s="2007"/>
      <c r="R5" s="2007"/>
      <c r="S5" s="2007"/>
    </row>
    <row r="6" spans="1:28" ht="14.1" customHeight="1" x14ac:dyDescent="0.2">
      <c r="B6" s="104" t="s">
        <v>2077</v>
      </c>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2077</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30002748045</v>
      </c>
      <c r="B13" s="2034"/>
      <c r="C13" s="2034"/>
      <c r="D13" s="2034"/>
      <c r="E13" s="2034"/>
      <c r="F13" s="2034"/>
      <c r="G13" s="2034"/>
      <c r="H13" s="2035"/>
      <c r="I13" s="31"/>
      <c r="J13" s="30"/>
      <c r="K13" s="28"/>
      <c r="L13" s="30"/>
      <c r="M13" s="30"/>
      <c r="N13" s="30"/>
      <c r="O13" s="30"/>
      <c r="P13" s="30"/>
      <c r="Q13" s="30"/>
      <c r="R13" s="30"/>
      <c r="S13" s="30"/>
      <c r="T13" s="2038" t="s">
        <v>2078</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2080</v>
      </c>
      <c r="B15" s="2036"/>
      <c r="C15" s="2036"/>
      <c r="D15" s="2036"/>
      <c r="E15" s="2036"/>
      <c r="F15" s="2036"/>
      <c r="G15" s="2036"/>
      <c r="H15" s="2037"/>
      <c r="T15" s="2042" t="s">
        <v>2079</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2110</v>
      </c>
      <c r="B17" s="1993"/>
      <c r="C17" s="1993"/>
      <c r="D17" s="1993"/>
      <c r="E17" s="1993"/>
      <c r="F17" s="1993"/>
      <c r="G17" s="1993"/>
      <c r="H17" s="2018"/>
      <c r="T17" s="2049" t="s">
        <v>2084</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2081</v>
      </c>
      <c r="B19" s="1978"/>
      <c r="C19" s="1978"/>
      <c r="D19" s="1978"/>
      <c r="E19" s="1978"/>
      <c r="F19" s="1978"/>
      <c r="G19" s="1978"/>
      <c r="H19" s="1958"/>
      <c r="I19" s="30"/>
      <c r="J19" s="99"/>
      <c r="K19" s="40"/>
      <c r="L19" s="38"/>
      <c r="M19" s="112" t="s">
        <v>333</v>
      </c>
      <c r="P19" s="27"/>
      <c r="Q19" s="27"/>
      <c r="R19" s="27"/>
      <c r="S19" s="31"/>
      <c r="T19" s="2032" t="s">
        <v>2085</v>
      </c>
      <c r="U19" s="1957"/>
      <c r="V19" s="1957"/>
      <c r="W19" s="1958"/>
      <c r="X19" s="2047" t="s">
        <v>2086</v>
      </c>
      <c r="Y19" s="2048"/>
      <c r="Z19" s="2045">
        <v>63703</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2082</v>
      </c>
      <c r="B21" s="1957"/>
      <c r="C21" s="1957"/>
      <c r="D21" s="1957"/>
      <c r="E21" s="1957"/>
      <c r="F21" s="1957"/>
      <c r="G21" s="1957"/>
      <c r="H21" s="1958"/>
      <c r="I21" s="2012" t="s">
        <v>699</v>
      </c>
      <c r="J21" s="2007"/>
      <c r="K21" s="2007"/>
      <c r="L21" s="2007"/>
      <c r="M21" s="2007"/>
      <c r="N21" s="2007"/>
      <c r="O21" s="2007"/>
      <c r="P21" s="2007"/>
      <c r="Q21" s="2007"/>
      <c r="R21" s="2007"/>
      <c r="S21" s="2013"/>
      <c r="T21" s="2056" t="s">
        <v>2087</v>
      </c>
      <c r="U21" s="2057"/>
      <c r="V21" s="2057"/>
      <c r="W21" s="2057"/>
      <c r="X21" s="2062" t="s">
        <v>2088</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2083</v>
      </c>
      <c r="B23" s="2010"/>
      <c r="C23" s="2010"/>
      <c r="D23" s="2010"/>
      <c r="E23" s="2010"/>
      <c r="F23" s="2010"/>
      <c r="G23" s="2010"/>
      <c r="H23" s="2011"/>
      <c r="T23" s="1992" t="s">
        <v>2089</v>
      </c>
      <c r="U23" s="2055"/>
      <c r="V23" s="2055"/>
      <c r="W23" s="2055"/>
      <c r="X23" s="2059">
        <v>43434</v>
      </c>
      <c r="Y23" s="2060"/>
      <c r="Z23" s="2060"/>
      <c r="AA23" s="2061"/>
    </row>
    <row r="24" spans="1:27" ht="14.1" customHeight="1" x14ac:dyDescent="0.2">
      <c r="A24" s="88" t="s">
        <v>698</v>
      </c>
      <c r="B24" s="49"/>
      <c r="C24" s="49"/>
      <c r="D24" s="49"/>
      <c r="E24" s="49"/>
      <c r="F24" s="49"/>
      <c r="G24" s="49"/>
      <c r="H24" s="61"/>
      <c r="J24" s="1979" t="str">
        <f>IF(B5="x",IF(AUDITCHECK!D29="AFR form Incomplete.","",IF(AUDITCHECK!D29="Deficit reduction plan is required.","School District must complete a deficit reduction plan in the 2018-2019 Budget",)),"")</f>
        <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62988</v>
      </c>
      <c r="B25" s="1957"/>
      <c r="C25" s="1957"/>
      <c r="D25" s="1957"/>
      <c r="E25" s="1957"/>
      <c r="F25" s="1957"/>
      <c r="G25" s="1957"/>
      <c r="H25" s="1958"/>
      <c r="I25" s="113"/>
      <c r="J25" s="1981"/>
      <c r="K25" s="1981"/>
      <c r="L25" s="1981"/>
      <c r="M25" s="1981"/>
      <c r="N25" s="1981"/>
      <c r="O25" s="1981"/>
      <c r="P25" s="1981"/>
      <c r="Q25" s="1981"/>
      <c r="R25" s="1981"/>
      <c r="S25" s="1982"/>
      <c r="T25" s="2052" t="s">
        <v>2090</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c r="B42" s="1976"/>
      <c r="C42" s="1977"/>
      <c r="D42" s="1975"/>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2038</v>
      </c>
      <c r="D2" s="724" t="s">
        <v>2045</v>
      </c>
      <c r="E2" s="724" t="s">
        <v>2046</v>
      </c>
      <c r="F2" s="1909"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0</v>
      </c>
      <c r="I12" s="1780">
        <f>SUM(I5:I11)</f>
        <v>0</v>
      </c>
      <c r="J12" s="1780">
        <f>SUM(J5:J11)</f>
        <v>0</v>
      </c>
      <c r="K12" s="1780">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0</v>
      </c>
      <c r="I23" s="1780">
        <f>SUM(I14:I16,I21,I22)</f>
        <v>0</v>
      </c>
      <c r="J23" s="1780">
        <f>SUM(J14:J16,J21,J22)</f>
        <v>0</v>
      </c>
      <c r="K23" s="1780">
        <f>SUM(K14:K16,K21,K22)</f>
        <v>0</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74162</v>
      </c>
      <c r="D8" s="845"/>
      <c r="E8" s="845"/>
      <c r="F8" s="1782">
        <f>(C8+D8)-E8</f>
        <v>74162</v>
      </c>
      <c r="G8" s="844">
        <v>50</v>
      </c>
      <c r="H8" s="766">
        <v>36149</v>
      </c>
      <c r="I8" s="766">
        <v>2968</v>
      </c>
      <c r="J8" s="766"/>
      <c r="K8" s="1791">
        <f>(H8+I8)-J8</f>
        <v>39117</v>
      </c>
      <c r="L8" s="1791">
        <f>F8-K8</f>
        <v>35045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180040</v>
      </c>
      <c r="D10" s="847"/>
      <c r="E10" s="847"/>
      <c r="F10" s="1786">
        <f>(C10+D10)-E10</f>
        <v>180040</v>
      </c>
      <c r="G10" s="844">
        <v>20</v>
      </c>
      <c r="H10" s="848">
        <v>40630</v>
      </c>
      <c r="I10" s="848">
        <v>9002</v>
      </c>
      <c r="J10" s="848"/>
      <c r="K10" s="1791">
        <f>(H10+I10)-J10</f>
        <v>49632</v>
      </c>
      <c r="L10" s="1791">
        <f>F10-K10</f>
        <v>130408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1519645</v>
      </c>
      <c r="D12" s="845">
        <v>24256</v>
      </c>
      <c r="E12" s="845"/>
      <c r="F12" s="1782">
        <f>(C12+D12)-E12</f>
        <v>1543901</v>
      </c>
      <c r="G12" s="844">
        <v>10</v>
      </c>
      <c r="H12" s="766">
        <v>1387333</v>
      </c>
      <c r="I12" s="766">
        <v>23771</v>
      </c>
      <c r="J12" s="766"/>
      <c r="K12" s="1791">
        <f>(H12+I12)-J12</f>
        <v>1411104</v>
      </c>
      <c r="L12" s="1791">
        <f>F12-K12</f>
        <v>132797</v>
      </c>
    </row>
    <row r="13" spans="1:14" ht="14.25" thickTop="1" thickBot="1" x14ac:dyDescent="0.25">
      <c r="A13" s="849" t="s">
        <v>1184</v>
      </c>
      <c r="B13" s="841">
        <v>252</v>
      </c>
      <c r="C13" s="845">
        <v>156349</v>
      </c>
      <c r="D13" s="845">
        <v>6068</v>
      </c>
      <c r="E13" s="845"/>
      <c r="F13" s="1782">
        <f>(C13+D13)-E13</f>
        <v>162417</v>
      </c>
      <c r="G13" s="844">
        <v>5</v>
      </c>
      <c r="H13" s="766">
        <v>117273</v>
      </c>
      <c r="I13" s="766">
        <v>13500</v>
      </c>
      <c r="J13" s="766"/>
      <c r="K13" s="1791">
        <f>(H13+I13)-J13</f>
        <v>130773</v>
      </c>
      <c r="L13" s="1791">
        <f>F13-K13</f>
        <v>31644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1930196</v>
      </c>
      <c r="D16" s="1782">
        <f>SUM(D3,D5:D6,D8:D10,D12:D15)</f>
        <v>30324</v>
      </c>
      <c r="E16" s="1782">
        <f>SUM(E3,E5:E6,E8:E10,E12:E15)</f>
        <v>0</v>
      </c>
      <c r="F16" s="1782">
        <f>SUM(F3,F5:F6,F8:F10,F12:F15)</f>
        <v>1960520</v>
      </c>
      <c r="G16" s="844"/>
      <c r="H16" s="1782">
        <f>SUM(H3,H6,H8:H10,H12:H14,)</f>
        <v>1581385</v>
      </c>
      <c r="I16" s="1782">
        <f>SUM(I3,I6,I8:I10,I12:I14,)</f>
        <v>49241</v>
      </c>
      <c r="J16" s="1782">
        <f>SUM(J3,J6,J8:J10,J12:J14,)</f>
        <v>0</v>
      </c>
      <c r="K16" s="1782">
        <f>(H16+I16)-J16</f>
        <v>1630626</v>
      </c>
      <c r="L16" s="1782">
        <f>F16-K16</f>
        <v>329894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49241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287" t="s">
        <v>1446</v>
      </c>
      <c r="B1" s="2287"/>
      <c r="C1" s="2287"/>
      <c r="D1" s="2287"/>
      <c r="E1" s="2287"/>
      <c r="F1" s="2287"/>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288" t="s">
        <v>1627</v>
      </c>
      <c r="B5" s="2289"/>
      <c r="C5" s="2290"/>
      <c r="D5" s="2290"/>
      <c r="E5" s="2290"/>
      <c r="F5" s="2290"/>
    </row>
    <row r="6" spans="1:10" ht="12" customHeight="1" x14ac:dyDescent="0.25">
      <c r="A6" s="1875"/>
      <c r="B6" s="1876"/>
      <c r="C6" s="2291" t="str">
        <f>COVER!A17</f>
        <v>Five County RVS</v>
      </c>
      <c r="D6" s="2291"/>
      <c r="E6" s="2291"/>
      <c r="F6" s="1877"/>
    </row>
    <row r="7" spans="1:10" ht="11.25" customHeight="1" thickBot="1" x14ac:dyDescent="0.3">
      <c r="A7" s="1875"/>
      <c r="B7" s="1876"/>
      <c r="C7" s="2292">
        <f>COVER!A13</f>
        <v>30002748045</v>
      </c>
      <c r="D7" s="2292"/>
      <c r="E7" s="2292"/>
      <c r="F7" s="1877"/>
    </row>
    <row r="8" spans="1:10" ht="25.5" customHeight="1" thickBot="1" x14ac:dyDescent="0.25">
      <c r="A8" s="1918" t="s">
        <v>2025</v>
      </c>
      <c r="B8" s="1878" t="s">
        <v>2106</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293"/>
      <c r="D35" s="2293"/>
      <c r="E35" s="2293"/>
      <c r="F35" s="2294"/>
    </row>
    <row r="36" spans="1:11" ht="12" customHeight="1" x14ac:dyDescent="0.2">
      <c r="A36" s="2276"/>
      <c r="B36" s="2277"/>
      <c r="C36" s="2277"/>
      <c r="D36" s="2277"/>
      <c r="E36" s="2277"/>
      <c r="F36" s="2278"/>
    </row>
    <row r="37" spans="1:11" ht="12" customHeight="1" x14ac:dyDescent="0.2">
      <c r="A37" s="2276"/>
      <c r="B37" s="2277"/>
      <c r="C37" s="2277"/>
      <c r="D37" s="2277"/>
      <c r="E37" s="2277"/>
      <c r="F37" s="2278"/>
    </row>
    <row r="38" spans="1:11" ht="12" customHeight="1" x14ac:dyDescent="0.2">
      <c r="A38" s="2279"/>
      <c r="B38" s="2280"/>
      <c r="C38" s="2280"/>
      <c r="D38" s="2280"/>
      <c r="E38" s="2280"/>
      <c r="F38" s="2281"/>
    </row>
    <row r="39" spans="1:11" ht="4.5" hidden="1" customHeight="1" x14ac:dyDescent="0.2">
      <c r="A39" s="1898"/>
      <c r="B39" s="1898"/>
      <c r="C39" s="1898"/>
      <c r="D39" s="1898"/>
      <c r="E39" s="1898"/>
      <c r="F39" s="1898"/>
    </row>
    <row r="40" spans="1:11" s="1895" customFormat="1" ht="12" customHeight="1" x14ac:dyDescent="0.25">
      <c r="A40" s="1899" t="s">
        <v>1458</v>
      </c>
      <c r="B40" s="1900"/>
      <c r="C40" s="2282"/>
      <c r="D40" s="2282"/>
      <c r="E40" s="2282"/>
      <c r="F40" s="2283"/>
      <c r="H40" s="1904"/>
      <c r="I40" s="1904"/>
      <c r="J40" s="1904"/>
      <c r="K40" s="1904"/>
    </row>
    <row r="41" spans="1:11" s="1895" customFormat="1" ht="12" customHeight="1" x14ac:dyDescent="0.25">
      <c r="A41" s="2284"/>
      <c r="B41" s="2285"/>
      <c r="C41" s="2285"/>
      <c r="D41" s="2285"/>
      <c r="E41" s="2285"/>
      <c r="F41" s="2286"/>
      <c r="H41" s="1904"/>
      <c r="I41" s="1904"/>
      <c r="J41" s="1904"/>
      <c r="K41" s="1904"/>
    </row>
    <row r="42" spans="1:11" s="1895" customFormat="1" ht="12" customHeight="1" x14ac:dyDescent="0.25">
      <c r="A42" s="2284"/>
      <c r="B42" s="2285"/>
      <c r="C42" s="2285"/>
      <c r="D42" s="2285"/>
      <c r="E42" s="2285"/>
      <c r="F42" s="2286"/>
      <c r="H42" s="1904"/>
      <c r="I42" s="1904"/>
      <c r="J42" s="1904"/>
      <c r="K42" s="1904"/>
    </row>
    <row r="43" spans="1:11" s="1895" customFormat="1" ht="15" x14ac:dyDescent="0.25">
      <c r="A43" s="2273"/>
      <c r="B43" s="2274"/>
      <c r="C43" s="2274"/>
      <c r="D43" s="2274"/>
      <c r="E43" s="2274"/>
      <c r="F43" s="2275"/>
      <c r="H43" s="1904"/>
      <c r="I43" s="1904"/>
      <c r="J43" s="1904"/>
      <c r="K43" s="1904"/>
    </row>
    <row r="44" spans="1:11" s="1895" customFormat="1" ht="12" hidden="1" customHeight="1" x14ac:dyDescent="0.25">
      <c r="A44" s="2273"/>
      <c r="B44" s="2274"/>
      <c r="C44" s="2274"/>
      <c r="D44" s="2274"/>
      <c r="E44" s="2274"/>
      <c r="F44" s="227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D65"/>
  <sheetViews>
    <sheetView showGridLines="0" zoomScale="110" zoomScaleNormal="110" workbookViewId="0"/>
  </sheetViews>
  <sheetFormatPr defaultColWidth="9.140625" defaultRowHeight="12.75" x14ac:dyDescent="0.2"/>
  <cols>
    <col min="1" max="1" width="3" style="329" customWidth="1"/>
    <col min="2" max="2" width="47.7109375" style="329" customWidth="1"/>
    <col min="3" max="3" width="9.85546875" style="329" customWidth="1"/>
    <col min="4" max="4" width="12" style="329" bestFit="1" customWidth="1"/>
    <col min="5" max="16384" width="9.140625" style="329"/>
  </cols>
  <sheetData>
    <row r="2" spans="1:4" x14ac:dyDescent="0.2">
      <c r="A2" s="389" t="s">
        <v>276</v>
      </c>
    </row>
    <row r="3" spans="1:4" x14ac:dyDescent="0.2">
      <c r="A3" s="329" t="s">
        <v>277</v>
      </c>
    </row>
    <row r="5" spans="1:4" x14ac:dyDescent="0.2">
      <c r="A5" s="1069">
        <v>1</v>
      </c>
      <c r="B5" s="329" t="s">
        <v>2102</v>
      </c>
    </row>
    <row r="6" spans="1:4" ht="15" x14ac:dyDescent="0.35">
      <c r="A6" s="1069"/>
      <c r="B6" s="329" t="s">
        <v>2105</v>
      </c>
      <c r="D6" s="1955">
        <v>20347</v>
      </c>
    </row>
    <row r="7" spans="1:4" x14ac:dyDescent="0.2">
      <c r="A7" s="1069"/>
    </row>
    <row r="8" spans="1:4" x14ac:dyDescent="0.2">
      <c r="A8" s="1069">
        <v>2</v>
      </c>
      <c r="B8" s="329" t="s">
        <v>2103</v>
      </c>
    </row>
    <row r="9" spans="1:4" ht="15" x14ac:dyDescent="0.35">
      <c r="A9" s="1070"/>
      <c r="B9" s="329" t="s">
        <v>2104</v>
      </c>
      <c r="D9" s="1955">
        <v>134180</v>
      </c>
    </row>
    <row r="10" spans="1:4" x14ac:dyDescent="0.2">
      <c r="A10" s="1070"/>
    </row>
    <row r="11" spans="1:4" x14ac:dyDescent="0.2">
      <c r="A11" s="1070"/>
    </row>
    <row r="12" spans="1:4" x14ac:dyDescent="0.2">
      <c r="A12" s="1070"/>
    </row>
    <row r="13" spans="1:4" x14ac:dyDescent="0.2">
      <c r="A13" s="1070"/>
    </row>
    <row r="14" spans="1:4" x14ac:dyDescent="0.2">
      <c r="A14" s="1070"/>
    </row>
    <row r="15" spans="1:4" x14ac:dyDescent="0.2">
      <c r="A15" s="1070"/>
    </row>
    <row r="16" spans="1:4"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Five County RVS</v>
      </c>
    </row>
    <row r="65" spans="2:2" x14ac:dyDescent="0.2">
      <c r="B65" s="1071">
        <f>COVER!A13</f>
        <v>30002748045</v>
      </c>
    </row>
  </sheetData>
  <phoneticPr fontId="13" type="noConversion"/>
  <printOptions horizontalCentered="1" verticalCentered="1"/>
  <pageMargins left="1" right="1" top="1" bottom="1" header="0.5" footer="1"/>
  <pageSetup scale="80" firstPageNumber="32" orientation="portrait" useFirstPageNumber="1" r:id="rId1"/>
  <headerFooter alignWithMargins="0">
    <oddHeader>&amp;L&amp;8Page 33&amp;C &amp;R&amp;8Page 33</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95" t="s">
        <v>1790</v>
      </c>
      <c r="B1" s="2296"/>
      <c r="C1" s="2296"/>
      <c r="D1" s="2296"/>
      <c r="E1" s="2296"/>
      <c r="F1" s="2297"/>
    </row>
    <row r="2" spans="1:8" ht="45" customHeight="1" x14ac:dyDescent="0.2">
      <c r="A2" s="2305" t="s">
        <v>1791</v>
      </c>
      <c r="B2" s="2306"/>
      <c r="C2" s="2306"/>
      <c r="D2" s="2306"/>
      <c r="E2" s="2306"/>
      <c r="F2" s="2307"/>
      <c r="G2" s="1075"/>
      <c r="H2" s="1075"/>
    </row>
    <row r="3" spans="1:8" ht="57" customHeight="1" x14ac:dyDescent="0.2">
      <c r="A3" s="2308" t="s">
        <v>1786</v>
      </c>
      <c r="B3" s="2309"/>
      <c r="C3" s="2309"/>
      <c r="D3" s="2309"/>
      <c r="E3" s="2309"/>
      <c r="F3" s="2310"/>
      <c r="G3" s="1075"/>
      <c r="H3" s="1075"/>
    </row>
    <row r="4" spans="1:8" ht="14.25" customHeight="1" x14ac:dyDescent="0.2">
      <c r="A4" s="2314" t="s">
        <v>2056</v>
      </c>
      <c r="B4" s="2315"/>
      <c r="C4" s="2315"/>
      <c r="D4" s="2315"/>
      <c r="E4" s="2315"/>
      <c r="F4" s="2316"/>
      <c r="G4" s="1075"/>
      <c r="H4" s="1075"/>
    </row>
    <row r="5" spans="1:8" ht="14.25" customHeight="1" x14ac:dyDescent="0.2">
      <c r="A5" s="2317" t="s">
        <v>2057</v>
      </c>
      <c r="B5" s="2318"/>
      <c r="C5" s="2318"/>
      <c r="D5" s="2318"/>
      <c r="E5" s="2318"/>
      <c r="F5" s="2319"/>
      <c r="G5" s="1075"/>
      <c r="H5" s="1075"/>
    </row>
    <row r="6" spans="1:8" s="1076" customFormat="1" ht="41.25" customHeight="1" x14ac:dyDescent="0.2">
      <c r="A6" s="2311" t="s">
        <v>1792</v>
      </c>
      <c r="B6" s="2312"/>
      <c r="C6" s="2312"/>
      <c r="D6" s="2312"/>
      <c r="E6" s="2312"/>
      <c r="F6" s="231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961839</v>
      </c>
      <c r="C8" s="1838">
        <f>'Acct Summary 7-8'!D8</f>
        <v>0</v>
      </c>
      <c r="D8" s="1838">
        <f>'Acct Summary 7-8'!F8</f>
        <v>0</v>
      </c>
      <c r="E8" s="1838">
        <f>'Acct Summary 7-8'!I8</f>
        <v>0</v>
      </c>
      <c r="F8" s="1838">
        <f>SUM(B8:E8)</f>
        <v>961839</v>
      </c>
    </row>
    <row r="9" spans="1:8" s="1080" customFormat="1" ht="14.25" customHeight="1" thickBot="1" x14ac:dyDescent="0.25">
      <c r="A9" s="1079" t="s">
        <v>1436</v>
      </c>
      <c r="B9" s="1839">
        <f>'Acct Summary 7-8'!C17</f>
        <v>812077</v>
      </c>
      <c r="C9" s="1839">
        <f>'Acct Summary 7-8'!D17</f>
        <v>0</v>
      </c>
      <c r="D9" s="1839">
        <f>'Acct Summary 7-8'!F17</f>
        <v>0</v>
      </c>
      <c r="E9" s="1838"/>
      <c r="F9" s="1838">
        <f>SUM(B9:E9)</f>
        <v>812077</v>
      </c>
    </row>
    <row r="10" spans="1:8" s="1080" customFormat="1" ht="14.25" thickTop="1" thickBot="1" x14ac:dyDescent="0.25">
      <c r="A10" s="1081" t="s">
        <v>1437</v>
      </c>
      <c r="B10" s="1840">
        <f>(B8-B9)</f>
        <v>149762</v>
      </c>
      <c r="C10" s="1840">
        <f>(C8-C9)</f>
        <v>0</v>
      </c>
      <c r="D10" s="1840">
        <f>(D8-D9)</f>
        <v>0</v>
      </c>
      <c r="E10" s="1839">
        <f>(E8-E9)</f>
        <v>0</v>
      </c>
      <c r="F10" s="1841">
        <f>SUM(F8-F9)</f>
        <v>149762</v>
      </c>
    </row>
    <row r="11" spans="1:8" s="1080" customFormat="1" ht="14.25" thickTop="1" thickBot="1" x14ac:dyDescent="0.25">
      <c r="A11" s="1082" t="s">
        <v>1785</v>
      </c>
      <c r="B11" s="1842">
        <f>'Acct Summary 7-8'!C81</f>
        <v>693033</v>
      </c>
      <c r="C11" s="1842">
        <f>'Acct Summary 7-8'!D81</f>
        <v>0</v>
      </c>
      <c r="D11" s="1842">
        <f>'Acct Summary 7-8'!F81</f>
        <v>0</v>
      </c>
      <c r="E11" s="1842">
        <f>'Acct Summary 7-8'!I81</f>
        <v>0</v>
      </c>
      <c r="F11" s="1843">
        <f>SUM(B11:E11)</f>
        <v>693033</v>
      </c>
    </row>
    <row r="12" spans="1:8" ht="16.5" customHeight="1" thickTop="1" x14ac:dyDescent="0.2">
      <c r="A12" s="1083"/>
      <c r="B12" s="1084"/>
      <c r="C12" s="2299" t="str">
        <f>IF(AND(F10&lt;0,F11&gt;=0,ABS(F10*3)&gt;ABS(F11)),A16,IF(AND(F10&lt;0,F11&gt;0,ABS(F10*3)&lt;=ABS(F11)),A17,IF(AND(F10&lt;0,F11&lt;0),A16,IF(F11=0,A19,A18))))</f>
        <v>Balanced - no deficit reduction plan is required.</v>
      </c>
      <c r="D12" s="2300"/>
      <c r="E12" s="2300"/>
      <c r="F12" s="2301"/>
    </row>
    <row r="13" spans="1:8" ht="19.5" customHeight="1" x14ac:dyDescent="0.2">
      <c r="A13" s="1085"/>
      <c r="B13" s="1086"/>
      <c r="C13" s="2299"/>
      <c r="D13" s="2300"/>
      <c r="E13" s="2300"/>
      <c r="F13" s="2301"/>
      <c r="H13" s="1075"/>
    </row>
    <row r="14" spans="1:8" ht="19.5" customHeight="1" x14ac:dyDescent="0.2">
      <c r="A14" s="1085"/>
      <c r="B14" s="1086"/>
      <c r="C14" s="2299"/>
      <c r="D14" s="2300"/>
      <c r="E14" s="2300"/>
      <c r="F14" s="2301"/>
      <c r="H14" s="1075"/>
    </row>
    <row r="15" spans="1:8" ht="17.25" customHeight="1" x14ac:dyDescent="0.2">
      <c r="A15" s="1085"/>
      <c r="B15" s="1086"/>
      <c r="C15" s="2302"/>
      <c r="D15" s="2303"/>
      <c r="E15" s="2303"/>
      <c r="F15" s="2304"/>
      <c r="H15" s="1075"/>
    </row>
    <row r="16" spans="1:8" s="310" customFormat="1" ht="51.75" hidden="1" customHeight="1" x14ac:dyDescent="0.2">
      <c r="A16" s="2298" t="s">
        <v>1787</v>
      </c>
      <c r="B16" s="2298"/>
      <c r="C16" s="2298"/>
      <c r="D16" s="2298"/>
      <c r="E16" s="229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7" activePane="bottomLeft" state="frozen"/>
      <selection pane="bottomLeft"/>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3" t="s">
        <v>1699</v>
      </c>
      <c r="B1" s="2324"/>
      <c r="C1" s="2324"/>
      <c r="D1" s="2324"/>
      <c r="E1" s="2324"/>
      <c r="F1" s="2325"/>
      <c r="G1" s="856"/>
    </row>
    <row r="2" spans="1:7" ht="15" customHeight="1" thickBot="1" x14ac:dyDescent="0.25">
      <c r="A2" s="2326" t="s">
        <v>498</v>
      </c>
      <c r="B2" s="2327"/>
      <c r="C2" s="2327"/>
      <c r="D2" s="2327"/>
      <c r="E2" s="2327"/>
      <c r="F2" s="232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29"/>
      <c r="B5" s="2330"/>
      <c r="C5" s="2330"/>
      <c r="D5" s="2330"/>
      <c r="E5" s="2330"/>
      <c r="F5" s="2330"/>
    </row>
    <row r="6" spans="1:7" ht="13.5" customHeight="1" thickBot="1" x14ac:dyDescent="0.25">
      <c r="A6" s="2320" t="s">
        <v>1166</v>
      </c>
      <c r="B6" s="2321"/>
      <c r="C6" s="2321"/>
      <c r="D6" s="2321"/>
      <c r="E6" s="2321"/>
      <c r="F6" s="232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812077</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812077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0</v>
      </c>
      <c r="G53" s="866"/>
    </row>
    <row r="54" spans="1:7" x14ac:dyDescent="0.2">
      <c r="A54" s="870" t="s">
        <v>479</v>
      </c>
      <c r="B54" s="870" t="s">
        <v>1552</v>
      </c>
      <c r="C54" s="890" t="s">
        <v>1039</v>
      </c>
      <c r="D54" s="886" t="s">
        <v>1157</v>
      </c>
      <c r="E54" s="869"/>
      <c r="F54" s="1939">
        <f>'Expenditures 15-22'!G114</f>
        <v>30324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30324</v>
      </c>
      <c r="G76" s="866"/>
    </row>
    <row r="77" spans="1:8" s="894" customFormat="1" ht="12" customHeight="1" thickTop="1" thickBot="1" x14ac:dyDescent="0.25">
      <c r="A77" s="1801"/>
      <c r="B77" s="1798"/>
      <c r="C77" s="1794"/>
      <c r="D77" s="1799" t="s">
        <v>2012</v>
      </c>
      <c r="E77" s="1796"/>
      <c r="F77" s="1802">
        <f>(F14-F76)</f>
        <v>781753</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320" t="s">
        <v>1167</v>
      </c>
      <c r="B81" s="2321"/>
      <c r="C81" s="2321"/>
      <c r="D81" s="2321"/>
      <c r="E81" s="2321"/>
      <c r="F81" s="232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511362</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134180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645542</v>
      </c>
    </row>
    <row r="179" spans="1:7" ht="12" customHeight="1" x14ac:dyDescent="0.2">
      <c r="A179" s="1792"/>
      <c r="B179" s="1806"/>
      <c r="C179" s="1807"/>
      <c r="D179" s="1808" t="s">
        <v>2015</v>
      </c>
      <c r="E179" s="1809"/>
      <c r="F179" s="1811">
        <f>'PCTC-OEPP 27-28'!F77-F178</f>
        <v>136211</v>
      </c>
    </row>
    <row r="180" spans="1:7" ht="12" customHeight="1" x14ac:dyDescent="0.2">
      <c r="A180" s="1792"/>
      <c r="B180" s="1806"/>
      <c r="C180" s="1807"/>
      <c r="D180" s="1808" t="s">
        <v>1924</v>
      </c>
      <c r="E180" s="1809"/>
      <c r="F180" s="1811">
        <f>'Cap Outlay Deprec 26'!I18</f>
        <v>49241</v>
      </c>
    </row>
    <row r="181" spans="1:7" ht="12" customHeight="1" x14ac:dyDescent="0.2">
      <c r="A181" s="1792"/>
      <c r="B181" s="1806"/>
      <c r="C181" s="1807"/>
      <c r="D181" s="1808" t="s">
        <v>2016</v>
      </c>
      <c r="E181" s="1809"/>
      <c r="F181" s="1811">
        <f>F179+F180</f>
        <v>185452</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28" activePane="bottomLeft" state="frozen"/>
      <selection pane="bottomLeft"/>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34" t="s">
        <v>1925</v>
      </c>
      <c r="B4" s="2335"/>
      <c r="C4" s="2335"/>
      <c r="D4" s="2335"/>
      <c r="E4" s="2335"/>
      <c r="F4" s="2335"/>
      <c r="G4" s="2336"/>
    </row>
    <row r="5" spans="1:7" x14ac:dyDescent="0.25">
      <c r="A5" s="2337"/>
      <c r="B5" s="2338"/>
      <c r="C5" s="2338"/>
      <c r="D5" s="2338"/>
      <c r="E5" s="2338"/>
      <c r="F5" s="2338"/>
      <c r="G5" s="2339"/>
    </row>
    <row r="6" spans="1:7" ht="18.75" x14ac:dyDescent="0.25">
      <c r="A6" s="1556" t="s">
        <v>1926</v>
      </c>
      <c r="B6" s="1557"/>
      <c r="C6" s="1557"/>
      <c r="D6" s="1557"/>
      <c r="E6" s="1557"/>
      <c r="F6" s="1557"/>
      <c r="G6" s="1558"/>
    </row>
    <row r="7" spans="1:7" ht="30.75" customHeight="1" x14ac:dyDescent="0.25">
      <c r="A7" s="2340" t="s">
        <v>2075</v>
      </c>
      <c r="B7" s="2341"/>
      <c r="C7" s="2341"/>
      <c r="D7" s="2341"/>
      <c r="E7" s="2341"/>
      <c r="F7" s="2341"/>
      <c r="G7" s="2342"/>
    </row>
    <row r="8" spans="1:7" ht="15.75" customHeight="1" x14ac:dyDescent="0.25">
      <c r="A8" s="2343" t="s">
        <v>2024</v>
      </c>
      <c r="B8" s="2344"/>
      <c r="C8" s="2344"/>
      <c r="D8" s="2344"/>
      <c r="E8" s="2344"/>
      <c r="F8" s="2344"/>
      <c r="G8" s="2345"/>
    </row>
    <row r="9" spans="1:7" ht="35.25" customHeight="1" x14ac:dyDescent="0.25">
      <c r="A9" s="2340" t="s">
        <v>2023</v>
      </c>
      <c r="B9" s="2341"/>
      <c r="C9" s="2341"/>
      <c r="D9" s="2341"/>
      <c r="E9" s="2341"/>
      <c r="F9" s="2341"/>
      <c r="G9" s="2342"/>
    </row>
    <row r="10" spans="1:7" ht="15" customHeight="1" x14ac:dyDescent="0.25">
      <c r="A10" s="1559" t="s">
        <v>1927</v>
      </c>
      <c r="B10" s="1560"/>
      <c r="C10" s="1560"/>
      <c r="D10" s="1560"/>
      <c r="E10" s="1560"/>
      <c r="F10" s="1560"/>
      <c r="G10" s="1561"/>
    </row>
    <row r="11" spans="1:7" ht="17.25" customHeight="1" x14ac:dyDescent="0.25">
      <c r="A11" s="2340" t="s">
        <v>1941</v>
      </c>
      <c r="B11" s="2341"/>
      <c r="C11" s="2341"/>
      <c r="D11" s="2341"/>
      <c r="E11" s="2341"/>
      <c r="F11" s="2341"/>
      <c r="G11" s="2342"/>
    </row>
    <row r="12" spans="1:7" ht="15" customHeight="1" x14ac:dyDescent="0.25">
      <c r="A12" s="1559" t="s">
        <v>1932</v>
      </c>
      <c r="B12" s="1560"/>
      <c r="C12" s="1560"/>
      <c r="D12" s="1560"/>
      <c r="E12" s="1560"/>
      <c r="F12" s="1560"/>
      <c r="G12" s="1561"/>
    </row>
    <row r="13" spans="1:7" ht="32.25" customHeight="1" x14ac:dyDescent="0.25">
      <c r="A13" s="2331" t="s">
        <v>1933</v>
      </c>
      <c r="B13" s="2332"/>
      <c r="C13" s="2332"/>
      <c r="D13" s="2332"/>
      <c r="E13" s="2332"/>
      <c r="F13" s="2332"/>
      <c r="G13" s="2333"/>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2097</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hidden="1" x14ac:dyDescent="0.25">
      <c r="A29" s="1675"/>
      <c r="B29" s="1869"/>
      <c r="C29" s="1676"/>
      <c r="D29" s="1867"/>
      <c r="E29" s="1562">
        <f t="shared" si="2"/>
        <v>0</v>
      </c>
      <c r="F29" s="1815">
        <f t="shared" si="3"/>
        <v>0</v>
      </c>
      <c r="G29" s="1816">
        <f t="shared" si="4"/>
        <v>0</v>
      </c>
    </row>
    <row r="30" spans="1:8" hidden="1" x14ac:dyDescent="0.25">
      <c r="A30" s="1675"/>
      <c r="B30" s="1869"/>
      <c r="C30" s="1676"/>
      <c r="D30" s="1867"/>
      <c r="E30" s="1562">
        <f t="shared" si="2"/>
        <v>0</v>
      </c>
      <c r="F30" s="1815">
        <f t="shared" si="3"/>
        <v>0</v>
      </c>
      <c r="G30" s="1816">
        <f t="shared" si="4"/>
        <v>0</v>
      </c>
    </row>
    <row r="31" spans="1:8" hidden="1" x14ac:dyDescent="0.25">
      <c r="A31" s="1675"/>
      <c r="B31" s="1869"/>
      <c r="C31" s="1676"/>
      <c r="D31" s="1867"/>
      <c r="E31" s="1562">
        <f t="shared" si="2"/>
        <v>0</v>
      </c>
      <c r="F31" s="1815">
        <f t="shared" si="3"/>
        <v>0</v>
      </c>
      <c r="G31" s="1816">
        <f t="shared" si="4"/>
        <v>0</v>
      </c>
    </row>
    <row r="32" spans="1:8" hidden="1"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46" t="s">
        <v>1778</v>
      </c>
      <c r="B5" s="2347"/>
      <c r="C5" s="2347"/>
      <c r="D5" s="2347"/>
      <c r="E5" s="2347"/>
      <c r="F5" s="2347"/>
      <c r="G5" s="234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51" t="s">
        <v>1945</v>
      </c>
      <c r="B11" s="2352"/>
      <c r="C11" s="2352"/>
      <c r="D11" s="2353"/>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483090</v>
      </c>
      <c r="F19" s="1822"/>
      <c r="G19" s="1824">
        <f>'Expenditures 15-22'!K33-SUM('Expenditures 15-22'!G33,'Expenditures 15-22'!I33)+'Expenditures 15-22'!D229</f>
        <v>483090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137316</v>
      </c>
      <c r="F22" s="1825"/>
      <c r="G22" s="1828">
        <f>'Expenditures 15-22'!K47-SUM('Expenditures 15-22'!G47,'Expenditures 15-22'!I47)+'Expenditures 15-22'!D243</f>
        <v>137316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92896</v>
      </c>
      <c r="F23" s="1825"/>
      <c r="G23" s="1827">
        <f>'Expenditures 15-22'!K53-SUM('Expenditures 15-22'!G53,'Expenditures 15-22'!I53)+'Expenditures 15-22'!D257+'Expenditures 15-22'!K330-SUM('Expenditures 15-22'!G330,'Expenditures 15-22'!I330)</f>
        <v>92896</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24966</v>
      </c>
      <c r="E27" s="1827">
        <f>E8</f>
        <v>0</v>
      </c>
      <c r="F27" s="1827">
        <f>'Expenditures 15-22'!K60-SUM('Expenditures 15-22'!G60,'Expenditures 15-22'!I60)+'Expenditures 15-22'!D264-E8</f>
        <v>24966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43485</v>
      </c>
      <c r="F28" s="1829">
        <f>'Expenditures 15-22'!K61-SUM('Expenditures 15-22'!G61,'Expenditures 15-22'!I61)+'Expenditures 15-22'!K124-SUM('Expenditures 15-22'!G124,'Expenditures 15-22'!I124)+'Expenditures 15-22'!D266-E9</f>
        <v>43485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24966</v>
      </c>
      <c r="E41" s="1829">
        <f>SUM(E19:E40)</f>
        <v>756787</v>
      </c>
      <c r="F41" s="1829">
        <f>SUM(F19:F39)</f>
        <v>68451</v>
      </c>
      <c r="G41" s="1829">
        <f>SUM(G19:G40)</f>
        <v>713302</v>
      </c>
    </row>
    <row r="42" spans="1:7" x14ac:dyDescent="0.2">
      <c r="A42" s="988"/>
      <c r="B42" s="162"/>
      <c r="C42" s="1002"/>
      <c r="D42" s="2349" t="s">
        <v>543</v>
      </c>
      <c r="E42" s="2350"/>
      <c r="F42" s="1003" t="s">
        <v>544</v>
      </c>
      <c r="G42" s="1004"/>
    </row>
    <row r="43" spans="1:7" ht="12" customHeight="1" x14ac:dyDescent="0.2">
      <c r="A43" s="988"/>
      <c r="B43" s="162"/>
      <c r="C43" s="1002"/>
      <c r="D43" s="1830" t="s">
        <v>493</v>
      </c>
      <c r="E43" s="1831">
        <f>D41</f>
        <v>24966</v>
      </c>
      <c r="F43" s="1830" t="s">
        <v>495</v>
      </c>
      <c r="G43" s="1831">
        <f>F41</f>
        <v>68451</v>
      </c>
    </row>
    <row r="44" spans="1:7" ht="12" customHeight="1" x14ac:dyDescent="0.2">
      <c r="A44" s="988"/>
      <c r="B44" s="162"/>
      <c r="C44" s="1002"/>
      <c r="D44" s="1830" t="s">
        <v>494</v>
      </c>
      <c r="E44" s="1831">
        <f>E41</f>
        <v>756787</v>
      </c>
      <c r="F44" s="1830" t="s">
        <v>494</v>
      </c>
      <c r="G44" s="1831">
        <f>G41</f>
        <v>713302</v>
      </c>
    </row>
    <row r="45" spans="1:7" ht="12" customHeight="1" x14ac:dyDescent="0.2">
      <c r="A45" s="988"/>
      <c r="B45" s="162"/>
      <c r="C45" s="162"/>
      <c r="D45" s="1832" t="s">
        <v>1063</v>
      </c>
      <c r="E45" s="1833">
        <f>(E43/E44)</f>
        <v>3.2989467313788427E-2</v>
      </c>
      <c r="F45" s="1832" t="s">
        <v>1063</v>
      </c>
      <c r="G45" s="1833">
        <f>(G43/G44)</f>
        <v>9.5963561016231561E-2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1"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59" t="str">
        <f>COVER!A17</f>
        <v>Five County RVS</v>
      </c>
      <c r="J6" s="2360"/>
      <c r="Q6" s="1686"/>
    </row>
    <row r="7" spans="1:17" x14ac:dyDescent="0.2">
      <c r="A7" s="2361" t="s">
        <v>924</v>
      </c>
      <c r="B7" s="2362"/>
      <c r="C7" s="2362"/>
      <c r="D7" s="2362"/>
      <c r="E7" s="2363"/>
      <c r="F7" s="1018"/>
      <c r="G7" s="1010"/>
      <c r="H7" s="1017" t="s">
        <v>390</v>
      </c>
      <c r="I7" s="2364">
        <f>COVER!A13</f>
        <v>30002748045</v>
      </c>
      <c r="J7" s="236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5" t="s">
        <v>502</v>
      </c>
      <c r="B11" s="2366"/>
      <c r="C11" s="236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91149</v>
      </c>
      <c r="F13" s="1040"/>
      <c r="G13" s="1834">
        <f t="shared" si="0"/>
        <v>91149</v>
      </c>
      <c r="H13" s="1041">
        <v>91879</v>
      </c>
      <c r="I13" s="1040"/>
      <c r="J13" s="1834">
        <f t="shared" si="1"/>
        <v>91879</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68" t="s">
        <v>7</v>
      </c>
      <c r="C18" s="2369"/>
      <c r="D18" s="237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91149</v>
      </c>
      <c r="F19" s="1836">
        <f t="shared" si="2"/>
        <v>0</v>
      </c>
      <c r="G19" s="1836">
        <f t="shared" si="2"/>
        <v>91149</v>
      </c>
      <c r="H19" s="1836">
        <f t="shared" si="2"/>
        <v>91879</v>
      </c>
      <c r="I19" s="1836">
        <f t="shared" si="2"/>
        <v>0</v>
      </c>
      <c r="J19" s="1836">
        <f t="shared" si="2"/>
        <v>91879</v>
      </c>
    </row>
    <row r="20" spans="1:10" ht="13.5" thickTop="1" x14ac:dyDescent="0.2">
      <c r="A20" s="1036">
        <v>9</v>
      </c>
      <c r="B20" s="2371" t="s">
        <v>1703</v>
      </c>
      <c r="C20" s="2371"/>
      <c r="D20" s="2372"/>
      <c r="E20" s="1047"/>
      <c r="F20" s="1047"/>
      <c r="G20" s="1047"/>
      <c r="H20" s="1047"/>
      <c r="I20" s="1047"/>
      <c r="J20" s="1837">
        <f>IF(AND(G19&gt;0,J19&gt;0),(((J19-G19)/G19)),"Enter Budget Data")</f>
        <v>8.0088646063039646E-3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7"/>
      <c r="D26" s="2377"/>
      <c r="E26" s="1051"/>
      <c r="F26" s="2376"/>
      <c r="G26" s="2376"/>
    </row>
    <row r="27" spans="1:10" x14ac:dyDescent="0.2">
      <c r="B27" s="1048"/>
      <c r="C27" s="1052" t="s">
        <v>1093</v>
      </c>
      <c r="D27" s="1053"/>
      <c r="E27" s="1054"/>
      <c r="F27" s="2373" t="s">
        <v>1589</v>
      </c>
      <c r="G27" s="2373"/>
    </row>
    <row r="28" spans="1:10" ht="28.5" customHeight="1" x14ac:dyDescent="0.2">
      <c r="B28" s="1048"/>
      <c r="C28" s="2375"/>
      <c r="D28" s="2375"/>
      <c r="E28" s="1055"/>
      <c r="F28" s="2375"/>
      <c r="G28" s="2375"/>
    </row>
    <row r="29" spans="1:10" x14ac:dyDescent="0.2">
      <c r="B29" s="1048"/>
      <c r="C29" s="1056" t="s">
        <v>1642</v>
      </c>
      <c r="E29" s="1057"/>
      <c r="F29" s="2374" t="s">
        <v>1590</v>
      </c>
      <c r="G29" s="237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6" t="s">
        <v>134</v>
      </c>
      <c r="D33" s="2357"/>
      <c r="E33" s="2357"/>
      <c r="F33" s="2357"/>
      <c r="G33" s="2357"/>
      <c r="H33" s="2357"/>
      <c r="I33" s="2357"/>
    </row>
    <row r="34" spans="1:10" ht="10.35" customHeight="1" x14ac:dyDescent="0.2">
      <c r="C34" s="2357"/>
      <c r="D34" s="2357"/>
      <c r="E34" s="2357"/>
      <c r="F34" s="2357"/>
      <c r="G34" s="2357"/>
      <c r="H34" s="2357"/>
      <c r="I34" s="2357"/>
    </row>
    <row r="35" spans="1:10" ht="7.5" customHeight="1" x14ac:dyDescent="0.2">
      <c r="C35" s="1063"/>
    </row>
    <row r="36" spans="1:10" ht="13.5" customHeight="1" x14ac:dyDescent="0.2">
      <c r="B36" s="1062"/>
      <c r="C36" s="2358" t="s">
        <v>1944</v>
      </c>
      <c r="D36" s="2357"/>
      <c r="E36" s="2357"/>
      <c r="F36" s="2357"/>
      <c r="G36" s="2357"/>
      <c r="H36" s="2357"/>
      <c r="I36" s="2357"/>
      <c r="J36" s="1064"/>
    </row>
    <row r="37" spans="1:10" ht="22.5" customHeight="1" x14ac:dyDescent="0.2">
      <c r="C37" s="2357"/>
      <c r="D37" s="2357"/>
      <c r="E37" s="2357"/>
      <c r="F37" s="2357"/>
      <c r="G37" s="2357"/>
      <c r="H37" s="2357"/>
      <c r="I37" s="2357"/>
      <c r="J37" s="1064"/>
    </row>
    <row r="38" spans="1:10" ht="7.5" customHeight="1" x14ac:dyDescent="0.2">
      <c r="C38" s="1063"/>
      <c r="D38" s="1065"/>
      <c r="E38" s="1066"/>
      <c r="F38" s="1067"/>
      <c r="G38" s="1066"/>
    </row>
    <row r="39" spans="1:10" ht="13.5" customHeight="1" x14ac:dyDescent="0.2">
      <c r="B39" s="1062"/>
      <c r="C39" s="2354" t="s">
        <v>937</v>
      </c>
      <c r="D39" s="2355"/>
      <c r="E39" s="2355"/>
      <c r="F39" s="2355"/>
      <c r="G39" s="2355"/>
      <c r="H39" s="2355"/>
      <c r="I39" s="235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8" t="s">
        <v>1784</v>
      </c>
      <c r="B18" s="237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1</xdr:row>
                <xdr:rowOff>38100</xdr:rowOff>
              </from>
              <to>
                <xdr:col>1</xdr:col>
                <xdr:colOff>790575</xdr:colOff>
                <xdr:row>5</xdr:row>
                <xdr:rowOff>66675</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30002748045</v>
      </c>
    </row>
    <row r="3" spans="1:2" x14ac:dyDescent="0.2">
      <c r="A3" t="s">
        <v>1013</v>
      </c>
      <c r="B3" s="138" t="str">
        <f>COVER!A15</f>
        <v>Johnson, Alexander, Massac, Pulaski, Union</v>
      </c>
    </row>
    <row r="4" spans="1:2" x14ac:dyDescent="0.2">
      <c r="A4" t="s">
        <v>1064</v>
      </c>
      <c r="B4" s="138" t="str">
        <f>COVER!A17</f>
        <v>Five County RVS</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066-003889</v>
      </c>
    </row>
    <row r="16" spans="1:2" x14ac:dyDescent="0.2">
      <c r="A16" t="s">
        <v>442</v>
      </c>
      <c r="B16" s="138" t="str">
        <f>COVER!T13</f>
        <v>Beussink, Hey, Roe &amp; Stroder, L.L.C.</v>
      </c>
    </row>
    <row r="17" spans="1:2" x14ac:dyDescent="0.2">
      <c r="A17" t="s">
        <v>939</v>
      </c>
      <c r="B17" s="138" t="str">
        <f>COVER!T15</f>
        <v>Jeffrey C. Stroder, CPA</v>
      </c>
    </row>
    <row r="18" spans="1:2" x14ac:dyDescent="0.2">
      <c r="A18" t="s">
        <v>1212</v>
      </c>
      <c r="B18" s="138" t="str">
        <f>COVER!T17</f>
        <v>16 South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693033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693033</v>
      </c>
      <c r="D92" s="2" t="str">
        <f t="shared" si="0"/>
        <v>Error?</v>
      </c>
    </row>
    <row r="93" spans="1:4" x14ac:dyDescent="0.2">
      <c r="A93" s="5">
        <v>32</v>
      </c>
      <c r="B93" s="138">
        <f>'Assets-Liab 5-6'!C41</f>
        <v>693033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74162</v>
      </c>
      <c r="D274" s="2" t="str">
        <f t="shared" si="3"/>
        <v>Error?</v>
      </c>
    </row>
    <row r="275" spans="1:4" x14ac:dyDescent="0.2">
      <c r="A275" s="5">
        <v>214</v>
      </c>
      <c r="B275" s="138">
        <f>'Assets-Liab 5-6'!M18</f>
        <v>180040</v>
      </c>
      <c r="D275" s="2" t="str">
        <f t="shared" si="3"/>
        <v>Error?</v>
      </c>
    </row>
    <row r="276" spans="1:4" x14ac:dyDescent="0.2">
      <c r="A276" s="5">
        <v>215</v>
      </c>
      <c r="B276" s="138">
        <f>'Assets-Liab 5-6'!M19</f>
        <v>1706318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1960520</v>
      </c>
      <c r="C279" s="2" t="s">
        <v>594</v>
      </c>
      <c r="D279" s="2" t="str">
        <f t="shared" si="3"/>
        <v>Error?</v>
      </c>
    </row>
    <row r="280" spans="1:4" x14ac:dyDescent="0.2">
      <c r="A280" s="5">
        <v>219</v>
      </c>
      <c r="B280" s="138">
        <f>'Assets-Liab 5-6'!M40</f>
        <v>1960520</v>
      </c>
      <c r="D280" s="2" t="str">
        <f t="shared" si="3"/>
        <v>Error?</v>
      </c>
    </row>
    <row r="281" spans="1:4" x14ac:dyDescent="0.2">
      <c r="A281" s="5">
        <v>220</v>
      </c>
      <c r="B281" s="138">
        <f>'Assets-Liab 5-6'!M41</f>
        <v>1960520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330740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330740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76573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76573</v>
      </c>
      <c r="C731" s="2" t="s">
        <v>594</v>
      </c>
      <c r="D731" s="2" t="str">
        <f t="shared" si="10"/>
        <v>Error?</v>
      </c>
    </row>
    <row r="732" spans="1:4" x14ac:dyDescent="0.2">
      <c r="A732" s="5">
        <v>671</v>
      </c>
      <c r="B732" s="138">
        <f>'Expenditures 15-22'!C49</f>
        <v>1420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59329</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14727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14727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150629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481369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29125</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29125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28923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28923</v>
      </c>
      <c r="C789" s="2" t="s">
        <v>594</v>
      </c>
      <c r="D789" s="2" t="str">
        <f t="shared" si="11"/>
        <v>Error?</v>
      </c>
    </row>
    <row r="790" spans="1:4" x14ac:dyDescent="0.2">
      <c r="A790" s="5">
        <v>729</v>
      </c>
      <c r="B790" s="138">
        <f>'Expenditures 15-22'!D49</f>
        <v>108</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18701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6804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54428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83553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725</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725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31321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31321</v>
      </c>
      <c r="C847" s="2" t="s">
        <v>594</v>
      </c>
      <c r="D847" s="2" t="str">
        <f t="shared" si="12"/>
        <v>Error?</v>
      </c>
    </row>
    <row r="848" spans="1:4" x14ac:dyDescent="0.2">
      <c r="A848" s="5">
        <v>787</v>
      </c>
      <c r="B848" s="138">
        <f>'Expenditures 15-22'!E49</f>
        <v>219</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14866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2783</v>
      </c>
      <c r="D855" s="2" t="str">
        <f t="shared" si="12"/>
        <v>Error?</v>
      </c>
    </row>
    <row r="856" spans="1:4" x14ac:dyDescent="0.2">
      <c r="A856" s="5">
        <v>795</v>
      </c>
      <c r="B856" s="138">
        <f>'Expenditures 15-22'!E61</f>
        <v>25447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28230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74417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75142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122500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122500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499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499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652</v>
      </c>
      <c r="D913" s="2" t="str">
        <f t="shared" si="13"/>
        <v>Error?</v>
      </c>
    </row>
    <row r="914" spans="1:4" x14ac:dyDescent="0.2">
      <c r="A914" s="5">
        <v>853</v>
      </c>
      <c r="B914" s="138">
        <f>'Expenditures 15-22'!F61</f>
        <v>18038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18690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19189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141689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30324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30324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30324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513414</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513414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137316</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137316</v>
      </c>
      <c r="C1119" s="2" t="s">
        <v>594</v>
      </c>
      <c r="D1119" s="2" t="str">
        <f t="shared" si="16"/>
        <v>Error?</v>
      </c>
    </row>
    <row r="1120" spans="1:4" x14ac:dyDescent="0.2">
      <c r="A1120" s="5">
        <v>1059</v>
      </c>
      <c r="B1120" s="138">
        <f>'Expenditures 15-22'!K49</f>
        <v>1747</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92896</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24966</v>
      </c>
      <c r="C1127" s="2" t="s">
        <v>594</v>
      </c>
      <c r="D1127" s="2" t="str">
        <f t="shared" si="16"/>
        <v>Error?</v>
      </c>
    </row>
    <row r="1128" spans="1:4" x14ac:dyDescent="0.2">
      <c r="A1128" s="5">
        <v>1067</v>
      </c>
      <c r="B1128" s="138">
        <f>'Expenditures 15-22'!K61</f>
        <v>43485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68451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298663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812077</v>
      </c>
      <c r="C1152" s="2" t="s">
        <v>594</v>
      </c>
      <c r="D1152" s="2" t="str">
        <f t="shared" si="17"/>
        <v>Error?</v>
      </c>
    </row>
    <row r="1153" spans="1:4" x14ac:dyDescent="0.2">
      <c r="A1153" s="5">
        <v>1092</v>
      </c>
      <c r="B1153" s="138">
        <f>'Expenditures 15-22'!K115</f>
        <v>149762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539415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693033</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74162</v>
      </c>
      <c r="D2009" s="2" t="str">
        <f t="shared" si="30"/>
        <v>Error?</v>
      </c>
    </row>
    <row r="2010" spans="1:4" x14ac:dyDescent="0.2">
      <c r="A2010" s="5">
        <v>1949</v>
      </c>
      <c r="B2010" s="138">
        <f>'Cap Outlay Deprec 26'!C10</f>
        <v>180040</v>
      </c>
      <c r="D2010" s="2" t="str">
        <f t="shared" si="30"/>
        <v>Error?</v>
      </c>
    </row>
    <row r="2011" spans="1:4" x14ac:dyDescent="0.2">
      <c r="A2011" s="5">
        <v>1950</v>
      </c>
      <c r="B2011" s="138">
        <f>'Cap Outlay Deprec 26'!C12</f>
        <v>1519645</v>
      </c>
      <c r="D2011" s="2" t="str">
        <f t="shared" si="30"/>
        <v>Error?</v>
      </c>
    </row>
    <row r="2012" spans="1:4" x14ac:dyDescent="0.2">
      <c r="A2012" s="5">
        <v>1951</v>
      </c>
      <c r="B2012" s="138">
        <f>'Cap Outlay Deprec 26'!C13</f>
        <v>156349</v>
      </c>
      <c r="D2012" s="2" t="str">
        <f t="shared" si="30"/>
        <v>Error?</v>
      </c>
    </row>
    <row r="2013" spans="1:4" x14ac:dyDescent="0.2">
      <c r="A2013" s="5">
        <v>1952</v>
      </c>
      <c r="B2013" s="138">
        <f>'Cap Outlay Deprec 26'!C16</f>
        <v>1930196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24256</v>
      </c>
      <c r="D2017" s="2" t="str">
        <f t="shared" si="30"/>
        <v>Error?</v>
      </c>
    </row>
    <row r="2018" spans="1:4" x14ac:dyDescent="0.2">
      <c r="A2018" s="5">
        <v>1957</v>
      </c>
      <c r="B2018" s="138">
        <f>'Cap Outlay Deprec 26'!D13</f>
        <v>6068</v>
      </c>
      <c r="D2018" s="2" t="str">
        <f t="shared" si="30"/>
        <v>Error?</v>
      </c>
    </row>
    <row r="2019" spans="1:4" x14ac:dyDescent="0.2">
      <c r="A2019" s="5">
        <v>1958</v>
      </c>
      <c r="B2019" s="138">
        <f>'Cap Outlay Deprec 26'!D16</f>
        <v>30324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74162</v>
      </c>
      <c r="C2027" s="2" t="s">
        <v>594</v>
      </c>
      <c r="D2027" s="2" t="str">
        <f t="shared" si="30"/>
        <v>Error?</v>
      </c>
    </row>
    <row r="2028" spans="1:4" x14ac:dyDescent="0.2">
      <c r="A2028" s="5">
        <v>1967</v>
      </c>
      <c r="B2028" s="138">
        <f>'Cap Outlay Deprec 26'!F10</f>
        <v>180040</v>
      </c>
      <c r="C2028" s="2" t="s">
        <v>594</v>
      </c>
      <c r="D2028" s="2" t="str">
        <f t="shared" si="30"/>
        <v>Error?</v>
      </c>
    </row>
    <row r="2029" spans="1:4" x14ac:dyDescent="0.2">
      <c r="A2029" s="5">
        <v>1968</v>
      </c>
      <c r="B2029" s="138">
        <f>'Cap Outlay Deprec 26'!F12</f>
        <v>1543901</v>
      </c>
      <c r="C2029" s="2" t="s">
        <v>594</v>
      </c>
      <c r="D2029" s="2" t="str">
        <f t="shared" si="30"/>
        <v>Error?</v>
      </c>
    </row>
    <row r="2030" spans="1:4" x14ac:dyDescent="0.2">
      <c r="A2030" s="5">
        <v>1969</v>
      </c>
      <c r="B2030" s="138">
        <f>'Cap Outlay Deprec 26'!F13</f>
        <v>162417</v>
      </c>
      <c r="C2030" s="2" t="s">
        <v>594</v>
      </c>
      <c r="D2030" s="2" t="str">
        <f t="shared" si="30"/>
        <v>Error?</v>
      </c>
    </row>
    <row r="2031" spans="1:4" x14ac:dyDescent="0.2">
      <c r="A2031" s="5">
        <v>1970</v>
      </c>
      <c r="B2031" s="138">
        <f>'Cap Outlay Deprec 26'!F16</f>
        <v>1960520</v>
      </c>
      <c r="C2031" s="2" t="s">
        <v>594</v>
      </c>
      <c r="D2031" s="2" t="str">
        <f t="shared" si="30"/>
        <v>Error?</v>
      </c>
    </row>
    <row r="2032" spans="1:4" x14ac:dyDescent="0.2">
      <c r="A2032" s="10">
        <v>1971</v>
      </c>
      <c r="D2032" s="2" t="str">
        <f t="shared" si="30"/>
        <v>OK</v>
      </c>
    </row>
    <row r="2033" spans="1:4" x14ac:dyDescent="0.2">
      <c r="A2033" s="5">
        <v>1972</v>
      </c>
      <c r="B2033" s="138">
        <f>'Cap Outlay Deprec 26'!H8</f>
        <v>36149</v>
      </c>
      <c r="D2033" s="2" t="str">
        <f t="shared" si="30"/>
        <v>Error?</v>
      </c>
    </row>
    <row r="2034" spans="1:4" x14ac:dyDescent="0.2">
      <c r="A2034" s="5">
        <v>1973</v>
      </c>
      <c r="B2034" s="138">
        <f>'Cap Outlay Deprec 26'!H10</f>
        <v>40630</v>
      </c>
      <c r="D2034" s="2" t="str">
        <f t="shared" si="30"/>
        <v>Error?</v>
      </c>
    </row>
    <row r="2035" spans="1:4" x14ac:dyDescent="0.2">
      <c r="A2035" s="5">
        <v>1974</v>
      </c>
      <c r="B2035" s="138">
        <f>'Cap Outlay Deprec 26'!H12</f>
        <v>1387333</v>
      </c>
      <c r="D2035" s="2" t="str">
        <f t="shared" si="30"/>
        <v>Error?</v>
      </c>
    </row>
    <row r="2036" spans="1:4" x14ac:dyDescent="0.2">
      <c r="A2036" s="5">
        <v>1975</v>
      </c>
      <c r="B2036" s="138">
        <f>'Cap Outlay Deprec 26'!H13</f>
        <v>117273</v>
      </c>
      <c r="D2036" s="2" t="str">
        <f t="shared" si="30"/>
        <v>Error?</v>
      </c>
    </row>
    <row r="2037" spans="1:4" x14ac:dyDescent="0.2">
      <c r="A2037" s="5">
        <v>1976</v>
      </c>
      <c r="B2037" s="138">
        <f>'Cap Outlay Deprec 26'!H16</f>
        <v>1581385</v>
      </c>
      <c r="C2037" s="2" t="s">
        <v>594</v>
      </c>
      <c r="D2037" s="2" t="str">
        <f t="shared" si="30"/>
        <v>Error?</v>
      </c>
    </row>
    <row r="2038" spans="1:4" x14ac:dyDescent="0.2">
      <c r="A2038" s="10">
        <v>1977</v>
      </c>
      <c r="D2038" s="2" t="str">
        <f t="shared" si="30"/>
        <v>OK</v>
      </c>
    </row>
    <row r="2039" spans="1:4" x14ac:dyDescent="0.2">
      <c r="A2039" s="5">
        <v>1978</v>
      </c>
      <c r="B2039" s="138">
        <f>'Cap Outlay Deprec 26'!I8</f>
        <v>2968</v>
      </c>
      <c r="D2039" s="2" t="str">
        <f t="shared" si="30"/>
        <v>Error?</v>
      </c>
    </row>
    <row r="2040" spans="1:4" x14ac:dyDescent="0.2">
      <c r="A2040" s="5">
        <v>1979</v>
      </c>
      <c r="B2040" s="138">
        <f>'Cap Outlay Deprec 26'!I10</f>
        <v>9002</v>
      </c>
      <c r="D2040" s="2" t="str">
        <f t="shared" si="30"/>
        <v>Error?</v>
      </c>
    </row>
    <row r="2041" spans="1:4" x14ac:dyDescent="0.2">
      <c r="A2041" s="5">
        <v>1980</v>
      </c>
      <c r="B2041" s="138">
        <f>'Cap Outlay Deprec 26'!I12</f>
        <v>23771</v>
      </c>
      <c r="D2041" s="2" t="str">
        <f t="shared" si="30"/>
        <v>Error?</v>
      </c>
    </row>
    <row r="2042" spans="1:4" x14ac:dyDescent="0.2">
      <c r="A2042" s="5">
        <v>1981</v>
      </c>
      <c r="B2042" s="138">
        <f>'Cap Outlay Deprec 26'!I13</f>
        <v>13500</v>
      </c>
      <c r="D2042" s="2" t="str">
        <f t="shared" si="30"/>
        <v>Error?</v>
      </c>
    </row>
    <row r="2043" spans="1:4" x14ac:dyDescent="0.2">
      <c r="A2043" s="5">
        <v>1982</v>
      </c>
      <c r="B2043" s="138">
        <f>'Cap Outlay Deprec 26'!I16</f>
        <v>49241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39117</v>
      </c>
      <c r="C2051" s="2" t="s">
        <v>594</v>
      </c>
      <c r="D2051" s="2" t="str">
        <f t="shared" si="31"/>
        <v>Error?</v>
      </c>
    </row>
    <row r="2052" spans="1:4" x14ac:dyDescent="0.2">
      <c r="A2052" s="5">
        <v>1991</v>
      </c>
      <c r="B2052" s="138">
        <f>'Cap Outlay Deprec 26'!K10</f>
        <v>49632</v>
      </c>
      <c r="C2052" s="2" t="s">
        <v>594</v>
      </c>
      <c r="D2052" s="2" t="str">
        <f t="shared" si="31"/>
        <v>Error?</v>
      </c>
    </row>
    <row r="2053" spans="1:4" x14ac:dyDescent="0.2">
      <c r="A2053" s="5">
        <v>1992</v>
      </c>
      <c r="B2053" s="138">
        <f>'Cap Outlay Deprec 26'!K12</f>
        <v>1411104</v>
      </c>
      <c r="C2053" s="2" t="s">
        <v>594</v>
      </c>
      <c r="D2053" s="2" t="str">
        <f t="shared" si="31"/>
        <v>Error?</v>
      </c>
    </row>
    <row r="2054" spans="1:4" x14ac:dyDescent="0.2">
      <c r="A2054" s="5">
        <v>1993</v>
      </c>
      <c r="B2054" s="138">
        <f>'Cap Outlay Deprec 26'!K13</f>
        <v>130773</v>
      </c>
      <c r="C2054" s="2" t="s">
        <v>594</v>
      </c>
      <c r="D2054" s="2" t="str">
        <f t="shared" si="31"/>
        <v>Error?</v>
      </c>
    </row>
    <row r="2055" spans="1:4" x14ac:dyDescent="0.2">
      <c r="A2055" s="5">
        <v>1994</v>
      </c>
      <c r="B2055" s="138">
        <f>'Cap Outlay Deprec 26'!K16</f>
        <v>1630626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35045</v>
      </c>
      <c r="C2057" s="2" t="s">
        <v>594</v>
      </c>
      <c r="D2057" s="2" t="str">
        <f t="shared" si="31"/>
        <v>Error?</v>
      </c>
    </row>
    <row r="2058" spans="1:4" x14ac:dyDescent="0.2">
      <c r="A2058" s="5">
        <v>1997</v>
      </c>
      <c r="B2058" s="138">
        <f>'Cap Outlay Deprec 26'!L10</f>
        <v>130408</v>
      </c>
      <c r="C2058" s="2" t="s">
        <v>594</v>
      </c>
      <c r="D2058" s="2" t="str">
        <f t="shared" si="31"/>
        <v>Error?</v>
      </c>
    </row>
    <row r="2059" spans="1:4" x14ac:dyDescent="0.2">
      <c r="A2059" s="5">
        <v>1998</v>
      </c>
      <c r="B2059" s="138">
        <f>'Cap Outlay Deprec 26'!L12</f>
        <v>132797</v>
      </c>
      <c r="C2059" s="2" t="s">
        <v>594</v>
      </c>
      <c r="D2059" s="2" t="str">
        <f t="shared" si="31"/>
        <v>Error?</v>
      </c>
    </row>
    <row r="2060" spans="1:4" x14ac:dyDescent="0.2">
      <c r="A2060" s="5">
        <v>1999</v>
      </c>
      <c r="B2060" s="138">
        <f>'Cap Outlay Deprec 26'!L13</f>
        <v>31644</v>
      </c>
      <c r="C2060" s="2" t="s">
        <v>594</v>
      </c>
      <c r="D2060" s="2" t="str">
        <f t="shared" si="31"/>
        <v>Error?</v>
      </c>
    </row>
    <row r="2061" spans="1:4" x14ac:dyDescent="0.2">
      <c r="A2061" s="5">
        <v>2000</v>
      </c>
      <c r="B2061" s="138">
        <f>'Cap Outlay Deprec 26'!L16</f>
        <v>329894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316297</v>
      </c>
      <c r="C2551" s="2" t="s">
        <v>594</v>
      </c>
      <c r="D2551" s="2" t="str">
        <f t="shared" si="38"/>
        <v>Error?</v>
      </c>
    </row>
    <row r="2552" spans="1:4" x14ac:dyDescent="0.2">
      <c r="A2552" s="10">
        <v>2491</v>
      </c>
      <c r="D2552" s="2" t="str">
        <f t="shared" si="38"/>
        <v>OK</v>
      </c>
    </row>
    <row r="2553" spans="1:4" x14ac:dyDescent="0.2">
      <c r="A2553" s="5">
        <v>2492</v>
      </c>
      <c r="B2553" s="138">
        <f>'Acct Summary 7-8'!C6</f>
        <v>511362</v>
      </c>
      <c r="C2553" s="2" t="s">
        <v>594</v>
      </c>
      <c r="D2553" s="2" t="str">
        <f t="shared" si="38"/>
        <v>Error?</v>
      </c>
    </row>
    <row r="2554" spans="1:4" x14ac:dyDescent="0.2">
      <c r="A2554" s="5">
        <v>2493</v>
      </c>
      <c r="B2554" s="138">
        <f>'Acct Summary 7-8'!C7</f>
        <v>134180</v>
      </c>
      <c r="C2554" s="2" t="s">
        <v>594</v>
      </c>
      <c r="D2554" s="2" t="str">
        <f t="shared" si="38"/>
        <v>Error?</v>
      </c>
    </row>
    <row r="2555" spans="1:4" x14ac:dyDescent="0.2">
      <c r="A2555" s="5">
        <v>2494</v>
      </c>
      <c r="B2555" s="138">
        <f>'Acct Summary 7-8'!C8</f>
        <v>961839</v>
      </c>
      <c r="C2555" s="2" t="s">
        <v>594</v>
      </c>
      <c r="D2555" s="2" t="str">
        <f t="shared" si="38"/>
        <v>Error?</v>
      </c>
    </row>
    <row r="2556" spans="1:4" x14ac:dyDescent="0.2">
      <c r="A2556" s="5">
        <v>2495</v>
      </c>
      <c r="B2556" s="138">
        <f>'Acct Summary 7-8'!C12</f>
        <v>513414</v>
      </c>
      <c r="C2556" s="2" t="s">
        <v>594</v>
      </c>
      <c r="D2556" s="2" t="str">
        <f t="shared" si="38"/>
        <v>Error?</v>
      </c>
    </row>
    <row r="2557" spans="1:4" x14ac:dyDescent="0.2">
      <c r="A2557" s="5">
        <v>2496</v>
      </c>
      <c r="B2557" s="138">
        <f>'Acct Summary 7-8'!C13</f>
        <v>298663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812077</v>
      </c>
      <c r="C2561" s="2" t="s">
        <v>594</v>
      </c>
      <c r="D2561" s="2" t="str">
        <f t="shared" si="39"/>
        <v>Error?</v>
      </c>
    </row>
    <row r="2562" spans="1:4" x14ac:dyDescent="0.2">
      <c r="A2562" s="5">
        <v>2501</v>
      </c>
      <c r="B2562" s="138">
        <f>'Acct Summary 7-8'!C20</f>
        <v>149762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57909</v>
      </c>
      <c r="D2718" s="2" t="str">
        <f t="shared" si="41"/>
        <v>Error?</v>
      </c>
    </row>
    <row r="2719" spans="1:4" x14ac:dyDescent="0.2">
      <c r="A2719" s="5">
        <v>2658</v>
      </c>
      <c r="B2719" s="138">
        <f>'Expenditures 15-22'!D51</f>
        <v>18593</v>
      </c>
      <c r="D2719" s="2" t="str">
        <f t="shared" si="41"/>
        <v>Error?</v>
      </c>
    </row>
    <row r="2720" spans="1:4" x14ac:dyDescent="0.2">
      <c r="A2720" s="5">
        <v>2659</v>
      </c>
      <c r="B2720" s="138">
        <f>'Expenditures 15-22'!E51</f>
        <v>14647</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91149</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2267</v>
      </c>
      <c r="D2914" s="2" t="str">
        <f t="shared" si="44"/>
        <v>Error?</v>
      </c>
    </row>
    <row r="2915" spans="1:4" x14ac:dyDescent="0.2">
      <c r="A2915" s="10">
        <v>2854</v>
      </c>
      <c r="D2915" s="2" t="str">
        <f t="shared" si="44"/>
        <v>OK</v>
      </c>
    </row>
    <row r="2916" spans="1:4" x14ac:dyDescent="0.2">
      <c r="A2916" s="5">
        <v>2855</v>
      </c>
      <c r="B2916" s="138">
        <f>'Assets-Liab 5-6'!L34</f>
        <v>2267</v>
      </c>
      <c r="C2916" s="2" t="s">
        <v>594</v>
      </c>
      <c r="D2916" s="2" t="str">
        <f t="shared" si="44"/>
        <v>Error?</v>
      </c>
    </row>
    <row r="2917" spans="1:4" x14ac:dyDescent="0.2">
      <c r="A2917" s="5">
        <v>2856</v>
      </c>
      <c r="B2917" s="138">
        <f>'Assets-Liab 5-6'!L41</f>
        <v>2267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3856</v>
      </c>
      <c r="D3228" s="2" t="str">
        <f t="shared" si="49"/>
        <v>Error?</v>
      </c>
    </row>
    <row r="3229" spans="1:4" x14ac:dyDescent="0.2">
      <c r="A3229" s="5">
        <v>3168</v>
      </c>
      <c r="B3229" s="138">
        <f>'Acct Summary 7-8'!C44</f>
        <v>3856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3856</v>
      </c>
      <c r="C3232" s="2" t="s">
        <v>594</v>
      </c>
      <c r="D3232" s="2" t="str">
        <f t="shared" si="49"/>
        <v>Error?</v>
      </c>
    </row>
    <row r="3233" spans="1:4" x14ac:dyDescent="0.2">
      <c r="A3233" s="5">
        <v>3172</v>
      </c>
      <c r="B3233" s="138">
        <f>'Acct Summary 7-8'!C78</f>
        <v>153618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693033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290346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1252185</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290346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1102423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693033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134180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292164</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292164</v>
      </c>
      <c r="C5087" s="2" t="s">
        <v>594</v>
      </c>
      <c r="D5087" s="2" t="str">
        <f t="shared" si="78"/>
        <v>Error?</v>
      </c>
    </row>
    <row r="5088" spans="1:4" x14ac:dyDescent="0.2">
      <c r="A5088" s="5">
        <v>5027</v>
      </c>
      <c r="B5088" s="138">
        <f>'Revenues 9-14'!C65</f>
        <v>3617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3617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20347</v>
      </c>
      <c r="D5119" s="2" t="str">
        <f t="shared" ref="D5119:D5182" si="79">IF(ISBLANK(B5119),"OK",IF(A5119-B5119=0,"OK","Error?"))</f>
        <v>Error?</v>
      </c>
    </row>
    <row r="5120" spans="1:4" x14ac:dyDescent="0.2">
      <c r="A5120" s="5">
        <v>5059</v>
      </c>
      <c r="B5120" s="138">
        <f>'Revenues 9-14'!C108</f>
        <v>20516</v>
      </c>
      <c r="C5120" s="2" t="s">
        <v>594</v>
      </c>
      <c r="D5120" s="2" t="str">
        <f t="shared" si="79"/>
        <v>Error?</v>
      </c>
    </row>
    <row r="5121" spans="1:4" x14ac:dyDescent="0.2">
      <c r="A5121" s="5">
        <v>5060</v>
      </c>
      <c r="B5121" s="138">
        <f>'Revenues 9-14'!C109</f>
        <v>316297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511362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511362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511362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511362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134180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134180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134180</v>
      </c>
      <c r="C5326" s="2" t="s">
        <v>594</v>
      </c>
      <c r="D5326" s="2" t="str">
        <f t="shared" si="82"/>
        <v>Error?</v>
      </c>
    </row>
    <row r="5327" spans="1:4" x14ac:dyDescent="0.2">
      <c r="A5327" s="5">
        <v>5266</v>
      </c>
      <c r="B5327" s="138">
        <f>'Revenues 9-14'!C275</f>
        <v>961839</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153618</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0.22166044041192845</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49241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Five County RVS</v>
      </c>
      <c r="B7" s="2402"/>
      <c r="C7" s="2402"/>
      <c r="D7" s="2439"/>
      <c r="E7" s="2440">
        <f>COVER!A13</f>
        <v>30002748045</v>
      </c>
      <c r="F7" s="2441"/>
      <c r="G7" s="2408" t="str">
        <f>COVER!T23</f>
        <v>066-003889</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Beussink, Hey, Roe &amp; Stroder, L.L.C.</v>
      </c>
      <c r="H9" s="2415"/>
      <c r="I9" s="2415"/>
      <c r="J9" s="2415"/>
      <c r="K9" s="2415"/>
      <c r="L9" s="2416"/>
    </row>
    <row r="10" spans="1:29" ht="13.5" customHeight="1" x14ac:dyDescent="0.2">
      <c r="A10" s="2398">
        <f>COVER!A38</f>
        <v>0</v>
      </c>
      <c r="B10" s="2399"/>
      <c r="C10" s="2399"/>
      <c r="D10" s="2399"/>
      <c r="E10" s="2399"/>
      <c r="F10" s="2400"/>
      <c r="G10" s="2414" t="str">
        <f>COVER!T17</f>
        <v>16 South Silver Springs Road</v>
      </c>
      <c r="H10" s="2427"/>
      <c r="I10" s="2427"/>
      <c r="J10" s="2427"/>
      <c r="K10" s="2427"/>
      <c r="L10" s="2428"/>
    </row>
    <row r="11" spans="1:29" ht="13.5" customHeight="1" x14ac:dyDescent="0.2">
      <c r="A11" s="1185" t="s">
        <v>1599</v>
      </c>
      <c r="B11" s="1186"/>
      <c r="C11" s="1187"/>
      <c r="D11" s="1192"/>
      <c r="E11" s="1187"/>
      <c r="F11" s="1191"/>
      <c r="G11" s="2414" t="str">
        <f>COVER!T19</f>
        <v>Cape Girardeau</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jstroder@bhrcpas.com</v>
      </c>
      <c r="J13" s="2436"/>
      <c r="K13" s="2436"/>
      <c r="L13" s="2437"/>
    </row>
    <row r="14" spans="1:29" ht="13.5" customHeight="1" x14ac:dyDescent="0.2">
      <c r="A14" s="2414" t="str">
        <f>COVER!A19</f>
        <v>Second &amp; Washington Street</v>
      </c>
      <c r="B14" s="2427"/>
      <c r="C14" s="2427"/>
      <c r="D14" s="2427"/>
      <c r="E14" s="2427"/>
      <c r="F14" s="2428"/>
      <c r="G14" s="1196" t="s">
        <v>1247</v>
      </c>
      <c r="H14" s="1194"/>
      <c r="I14" s="1194"/>
      <c r="J14" s="1194"/>
      <c r="K14" s="1194"/>
      <c r="L14" s="1195"/>
    </row>
    <row r="15" spans="1:29" ht="13.5" customHeight="1" x14ac:dyDescent="0.2">
      <c r="A15" s="2414" t="str">
        <f>COVER!A21</f>
        <v>Tamms</v>
      </c>
      <c r="B15" s="2427"/>
      <c r="C15" s="2427"/>
      <c r="D15" s="2427"/>
      <c r="E15" s="2427"/>
      <c r="F15" s="2428"/>
      <c r="G15" s="2424" t="str">
        <f>COVER!T15</f>
        <v>Jeffrey C. Stroder, CPA</v>
      </c>
      <c r="H15" s="2425"/>
      <c r="I15" s="2425"/>
      <c r="J15" s="2425"/>
      <c r="K15" s="2425"/>
      <c r="L15" s="2426"/>
    </row>
    <row r="16" spans="1:29" ht="12.2" customHeight="1" x14ac:dyDescent="0.2">
      <c r="A16" s="2404">
        <f>COVER!A25</f>
        <v>62988</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573-334-7971</v>
      </c>
      <c r="H18" s="2402"/>
      <c r="I18" s="2402"/>
      <c r="J18" s="2402"/>
      <c r="K18" s="2401" t="str">
        <f>COVER!X21</f>
        <v>573-334-8875</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Five County RVS</v>
      </c>
      <c r="B1" s="2438"/>
      <c r="C1" s="2438"/>
      <c r="D1" s="2438"/>
    </row>
    <row r="2" spans="1:11" s="1215" customFormat="1" ht="12.75" x14ac:dyDescent="0.2">
      <c r="A2" s="2443">
        <f>'Single Audit Cover'!E7</f>
        <v>30002748045</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Five County RVS</v>
      </c>
      <c r="B1" s="2446"/>
      <c r="C1" s="2446"/>
      <c r="D1" s="2446"/>
      <c r="E1" s="2446"/>
    </row>
    <row r="2" spans="1:5" x14ac:dyDescent="0.2">
      <c r="A2" s="2447">
        <f>'Single Audit Cover'!E7</f>
        <v>30002748045</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134180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134180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134180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134180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Five County RVS</v>
      </c>
      <c r="C1" s="2450"/>
      <c r="D1" s="2450"/>
      <c r="E1" s="2450"/>
      <c r="F1" s="2450"/>
      <c r="G1" s="2450"/>
      <c r="H1" s="2450"/>
      <c r="I1" s="2450"/>
      <c r="J1" s="2450"/>
      <c r="K1" s="2450"/>
      <c r="L1" s="2450"/>
      <c r="M1" s="2450"/>
    </row>
    <row r="2" spans="2:14" ht="15" x14ac:dyDescent="0.2">
      <c r="B2" s="2451">
        <f>'Single Audit Cover'!E7</f>
        <v>30002748045</v>
      </c>
      <c r="C2" s="2451"/>
      <c r="D2" s="2451"/>
      <c r="E2" s="2451"/>
      <c r="F2" s="2451"/>
      <c r="G2" s="2451"/>
      <c r="H2" s="2451"/>
      <c r="I2" s="2451"/>
      <c r="J2" s="2451"/>
      <c r="K2" s="2451"/>
      <c r="L2" s="2451"/>
      <c r="M2" s="2451"/>
      <c r="N2" s="1302"/>
    </row>
    <row r="3" spans="2:14" ht="15" x14ac:dyDescent="0.2">
      <c r="B3" s="2452" t="s">
        <v>1281</v>
      </c>
      <c r="C3" s="2452"/>
      <c r="D3" s="2452"/>
      <c r="E3" s="2452"/>
      <c r="F3" s="2452"/>
      <c r="G3" s="2452"/>
      <c r="H3" s="2452"/>
      <c r="I3" s="2452"/>
      <c r="J3" s="2452"/>
      <c r="K3" s="2452"/>
      <c r="L3" s="2452"/>
      <c r="M3" s="2452"/>
      <c r="N3" s="1302"/>
    </row>
    <row r="4" spans="2:14" ht="15" x14ac:dyDescent="0.2">
      <c r="B4" s="2453" t="str">
        <f>'Single Audit Cover'!A4</f>
        <v>Year Ending June 30, 2018</v>
      </c>
      <c r="C4" s="2453"/>
      <c r="D4" s="2453"/>
      <c r="E4" s="2453"/>
      <c r="F4" s="2453"/>
      <c r="G4" s="2453"/>
      <c r="H4" s="2453"/>
      <c r="I4" s="2453"/>
      <c r="J4" s="2453"/>
      <c r="K4" s="2453"/>
      <c r="L4" s="2453"/>
      <c r="M4" s="245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verticalCentered="1"/>
  <pageMargins left="1" right="1" top="1" bottom="1" header="0.25" footer="0.75"/>
  <pageSetup scale="71"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Five County RVS</v>
      </c>
      <c r="B1" s="2455"/>
      <c r="C1" s="2455"/>
      <c r="D1" s="2455"/>
      <c r="E1" s="2455"/>
      <c r="F1" s="2455"/>
    </row>
    <row r="2" spans="1:7" ht="13.5" customHeight="1" x14ac:dyDescent="0.2">
      <c r="A2" s="2451">
        <f>'Single Audit Cover'!E7</f>
        <v>30002748045</v>
      </c>
      <c r="B2" s="2451"/>
      <c r="C2" s="2451"/>
      <c r="D2" s="2451"/>
      <c r="E2" s="2451"/>
      <c r="F2" s="2451"/>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4" t="s">
        <v>1832</v>
      </c>
      <c r="B7" s="2454"/>
      <c r="C7" s="2454"/>
      <c r="D7" s="2454"/>
      <c r="E7" s="2454"/>
      <c r="F7" s="2454"/>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4" t="s">
        <v>1834</v>
      </c>
      <c r="B13" s="2454"/>
      <c r="C13" s="2454"/>
      <c r="D13" s="2454"/>
      <c r="E13" s="2454"/>
      <c r="F13" s="2454"/>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2109</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Five County RVS</v>
      </c>
      <c r="C1" s="2471"/>
      <c r="D1" s="2471"/>
      <c r="E1" s="2471"/>
      <c r="F1" s="2471"/>
      <c r="G1" s="2471"/>
      <c r="H1" s="2471"/>
      <c r="I1" s="2471"/>
      <c r="J1" s="1422"/>
    </row>
    <row r="2" spans="2:10" s="317" customFormat="1" ht="12.75" customHeight="1" x14ac:dyDescent="0.2">
      <c r="B2" s="2472">
        <f>'Single Audit Cover'!E7</f>
        <v>30002748045</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1" right="1" top="1" bottom="1" header="0.51" footer="0.28999999999999998"/>
  <pageSetup scale="83"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Five County RVS</v>
      </c>
      <c r="C1" s="2470"/>
      <c r="D1" s="2470"/>
      <c r="E1" s="2470"/>
      <c r="F1" s="2470"/>
      <c r="G1" s="2470"/>
      <c r="H1" s="2470"/>
      <c r="I1" s="2470"/>
      <c r="J1" s="2470"/>
      <c r="K1" s="2470"/>
      <c r="L1" s="1374"/>
      <c r="M1" s="1374"/>
    </row>
    <row r="2" spans="1:13" ht="12" customHeight="1" x14ac:dyDescent="0.2">
      <c r="B2" s="2472">
        <f>'Single Audit Cover'!E7</f>
        <v>30002748045</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2091</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2092</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2093</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2094</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2095</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t="s">
        <v>2096</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2107</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 xml:space="preserve">&amp;L&amp;8Page 43&amp;R&amp;8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Five County RVS</v>
      </c>
      <c r="C1" s="2497"/>
      <c r="D1" s="2497"/>
      <c r="E1" s="2497"/>
      <c r="F1" s="2497"/>
      <c r="G1" s="2497"/>
      <c r="H1" s="2497"/>
      <c r="I1" s="2497"/>
      <c r="J1" s="2497"/>
      <c r="K1" s="2497"/>
      <c r="L1" s="1465"/>
    </row>
    <row r="2" spans="1:12" ht="12.75" customHeight="1" x14ac:dyDescent="0.2">
      <c r="B2" s="2498">
        <f>'Single Audit Cover'!E7</f>
        <v>30002748045</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1" right="1" top="1" bottom="1" header="0.5" footer="0.18"/>
  <pageSetup scale="85"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Five County RVS</v>
      </c>
      <c r="C1" s="2470"/>
      <c r="D1" s="2470"/>
      <c r="E1" s="1491"/>
    </row>
    <row r="2" spans="2:5" s="1282" customFormat="1" ht="12.75" customHeight="1" x14ac:dyDescent="0.2">
      <c r="B2" s="2472">
        <f>'Single Audit Cover'!E7</f>
        <v>30002748045</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t="s">
        <v>2098</v>
      </c>
      <c r="C7" s="324" t="s">
        <v>2101</v>
      </c>
      <c r="D7" s="324" t="s">
        <v>2108</v>
      </c>
      <c r="E7" s="324"/>
    </row>
    <row r="8" spans="2:5" ht="13.5" customHeight="1" x14ac:dyDescent="0.2">
      <c r="B8" s="1496"/>
      <c r="C8" s="324" t="s">
        <v>2100</v>
      </c>
      <c r="D8" s="324"/>
      <c r="E8" s="324"/>
    </row>
    <row r="9" spans="2:5" ht="13.5" customHeight="1" x14ac:dyDescent="0.2">
      <c r="B9" s="1497"/>
      <c r="C9" s="323" t="s">
        <v>2099</v>
      </c>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961839</v>
      </c>
      <c r="E16" s="356"/>
      <c r="F16" s="1755">
        <f>SUM('Acct Summary 7-8'!C17,'Acct Summary 7-8'!D17,'Acct Summary 7-8'!F17)</f>
        <v>812077</v>
      </c>
      <c r="G16" s="356"/>
      <c r="H16" s="1755">
        <f>SUM(D16-F16)</f>
        <v>149762</v>
      </c>
      <c r="I16" s="222"/>
      <c r="J16" s="1755">
        <f>SUM('Acct Summary 7-8'!C81,'Acct Summary 7-8'!D81,'Acct Summary 7-8'!F81,'Acct Summary 7-8'!I81)</f>
        <v>693033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Five County RVS</v>
      </c>
      <c r="E7" s="391"/>
      <c r="G7" s="252"/>
      <c r="H7" s="387"/>
      <c r="I7" s="387"/>
      <c r="J7" s="387"/>
      <c r="K7" s="387"/>
      <c r="L7" s="329"/>
      <c r="M7" s="329"/>
      <c r="N7" s="329"/>
      <c r="O7" s="329"/>
      <c r="P7" s="329"/>
    </row>
    <row r="8" spans="1:18" ht="12.75" x14ac:dyDescent="0.2">
      <c r="A8" s="329"/>
      <c r="B8" s="329"/>
      <c r="C8" s="389" t="s">
        <v>1187</v>
      </c>
      <c r="D8" s="392">
        <f>COVER!A13</f>
        <v>30002748045</v>
      </c>
      <c r="E8" s="393"/>
      <c r="G8" s="329"/>
      <c r="H8" s="329"/>
      <c r="I8" s="329"/>
      <c r="J8" s="329"/>
      <c r="K8" s="329"/>
      <c r="L8" s="329"/>
      <c r="M8" s="329"/>
      <c r="N8" s="329"/>
      <c r="O8" s="329"/>
      <c r="P8" s="329"/>
    </row>
    <row r="9" spans="1:18" ht="12.75" x14ac:dyDescent="0.2">
      <c r="A9" s="329"/>
      <c r="B9" s="329"/>
      <c r="C9" s="389" t="s">
        <v>737</v>
      </c>
      <c r="D9" s="394" t="str">
        <f>COVER!A15</f>
        <v>Johnson, Alexander, Massac, Pulaski, 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693033</v>
      </c>
      <c r="I12" s="404"/>
      <c r="J12" s="404"/>
      <c r="K12" s="405">
        <f>TRUNC((H12/H13*100000),5)/100000</f>
        <v>0.72052911139999998</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961839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812077</v>
      </c>
      <c r="I17" s="404"/>
      <c r="J17" s="416"/>
      <c r="K17" s="405">
        <f>TRUNC((H17/H18*100000),5)/100000</f>
        <v>0.84429618669999995</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961839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693033</v>
      </c>
      <c r="I24" s="422"/>
      <c r="J24" s="422"/>
      <c r="K24" s="423">
        <f>TRUNC(((H24/H25*100000)/100000),2)</f>
        <v>307.22000000000003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2255.76944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5" activePane="bottomLeft" state="frozen"/>
      <selection pane="bottomLeft"/>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693033</v>
      </c>
      <c r="D4" s="466"/>
      <c r="E4" s="466"/>
      <c r="F4" s="466"/>
      <c r="G4" s="466"/>
      <c r="H4" s="466"/>
      <c r="I4" s="466"/>
      <c r="J4" s="467"/>
      <c r="K4" s="466"/>
      <c r="L4" s="466">
        <v>2267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693033</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2267</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74162</v>
      </c>
      <c r="N17" s="484"/>
    </row>
    <row r="18" spans="1:14" s="485" customFormat="1" ht="12.75" customHeight="1" x14ac:dyDescent="0.2">
      <c r="A18" s="482" t="s">
        <v>1471</v>
      </c>
      <c r="B18" s="483">
        <v>240</v>
      </c>
      <c r="C18" s="477"/>
      <c r="D18" s="477"/>
      <c r="E18" s="477"/>
      <c r="F18" s="477"/>
      <c r="G18" s="477"/>
      <c r="H18" s="477"/>
      <c r="I18" s="477"/>
      <c r="J18" s="477"/>
      <c r="K18" s="477"/>
      <c r="L18" s="477"/>
      <c r="M18" s="467">
        <v>180040</v>
      </c>
      <c r="N18" s="484"/>
    </row>
    <row r="19" spans="1:14" s="485" customFormat="1" ht="12.75" customHeight="1" x14ac:dyDescent="0.2">
      <c r="A19" s="482" t="s">
        <v>1472</v>
      </c>
      <c r="B19" s="483">
        <v>250</v>
      </c>
      <c r="C19" s="477"/>
      <c r="D19" s="477"/>
      <c r="E19" s="477"/>
      <c r="F19" s="477"/>
      <c r="G19" s="477"/>
      <c r="H19" s="477"/>
      <c r="I19" s="477"/>
      <c r="J19" s="477"/>
      <c r="K19" s="477"/>
      <c r="L19" s="477"/>
      <c r="M19" s="467">
        <f>1543901+162417</f>
        <v>1706318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1960520</v>
      </c>
      <c r="N23" s="1710">
        <f>SUM(N21:N22)</f>
        <v>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2267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2267</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693033</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1960520</v>
      </c>
      <c r="N40" s="497"/>
    </row>
    <row r="41" spans="1:14" ht="13.5" customHeight="1" thickBot="1" x14ac:dyDescent="0.25">
      <c r="A41" s="1758" t="s">
        <v>676</v>
      </c>
      <c r="B41" s="1728"/>
      <c r="C41" s="1710">
        <f>(SUM(C34,C37,C38,C39))</f>
        <v>693033</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2267</v>
      </c>
      <c r="M41" s="1710">
        <f>SUM(M40)</f>
        <v>1960520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pane="bottomLeft"/>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2153" t="s">
        <v>1579</v>
      </c>
      <c r="B4" s="2154"/>
      <c r="C4" s="1764">
        <f>'Revenues 9-14'!C109</f>
        <v>316297</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511362</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134180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961839</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290346</v>
      </c>
      <c r="D9" s="516"/>
      <c r="E9" s="481"/>
      <c r="F9" s="481"/>
      <c r="G9" s="517"/>
      <c r="H9" s="481"/>
      <c r="I9" s="509" t="s">
        <v>1231</v>
      </c>
      <c r="J9" s="478"/>
      <c r="K9" s="481"/>
      <c r="L9" s="347"/>
    </row>
    <row r="10" spans="1:13" s="519" customFormat="1" ht="13.5" thickBot="1" x14ac:dyDescent="0.25">
      <c r="A10" s="1758" t="s">
        <v>1235</v>
      </c>
      <c r="B10" s="1731"/>
      <c r="C10" s="1710">
        <f>SUM(C8:C9)</f>
        <v>1252185</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513414</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298663</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812077</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290346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1102423</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1" t="s">
        <v>1754</v>
      </c>
      <c r="B20" s="2142"/>
      <c r="C20" s="1768">
        <f>C8-C17</f>
        <v>149762</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3856</v>
      </c>
      <c r="D43" s="467"/>
      <c r="E43" s="467"/>
      <c r="F43" s="467"/>
      <c r="G43" s="467"/>
      <c r="H43" s="467"/>
      <c r="I43" s="467"/>
      <c r="J43" s="467"/>
      <c r="K43" s="467"/>
      <c r="L43" s="524"/>
    </row>
    <row r="44" spans="1:12" s="485" customFormat="1" ht="13.5" customHeight="1" thickBot="1" x14ac:dyDescent="0.25">
      <c r="A44" s="2157" t="s">
        <v>392</v>
      </c>
      <c r="B44" s="2158"/>
      <c r="C44" s="1725">
        <f>SUM(C24:C43)</f>
        <v>3856</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1" t="s">
        <v>460</v>
      </c>
      <c r="B76" s="2132"/>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3" t="s">
        <v>1239</v>
      </c>
      <c r="B77" s="2134"/>
      <c r="C77" s="1725">
        <f t="shared" ref="C77:K77" si="8">C44-C76</f>
        <v>3856</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7" t="s">
        <v>618</v>
      </c>
      <c r="B78" s="2138"/>
      <c r="C78" s="1724">
        <f t="shared" ref="C78:K78" si="9">C20+C77</f>
        <v>153618</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539415</v>
      </c>
      <c r="D79" s="535"/>
      <c r="E79" s="535"/>
      <c r="F79" s="535"/>
      <c r="G79" s="535"/>
      <c r="H79" s="535"/>
      <c r="I79" s="535"/>
      <c r="J79" s="535"/>
      <c r="K79" s="535"/>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693033</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153618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0.22166044041192845</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orizontalCentered="1" headings="1" gridLine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pane="bottomLeft" activeCell="C28" sqref="C2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v>292164</v>
      </c>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292164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3617</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3617</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169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20290+58-1</f>
        <v>20347</v>
      </c>
      <c r="D107" s="466"/>
      <c r="E107" s="466"/>
      <c r="F107" s="466"/>
      <c r="G107" s="466"/>
      <c r="H107" s="466"/>
      <c r="I107" s="466"/>
      <c r="J107" s="467"/>
      <c r="K107" s="466"/>
    </row>
    <row r="108" spans="1:12" ht="12.75" customHeight="1" thickBot="1" x14ac:dyDescent="0.25">
      <c r="A108" s="1730" t="s">
        <v>508</v>
      </c>
      <c r="B108" s="1734"/>
      <c r="C108" s="1729">
        <f>SUM(C95:C107)</f>
        <v>20516</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316297</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511362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511362</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511362</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511362</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134180</v>
      </c>
      <c r="D227" s="466"/>
      <c r="E227" s="468"/>
      <c r="F227" s="468"/>
      <c r="G227" s="466"/>
      <c r="H227" s="468"/>
      <c r="I227" s="468"/>
      <c r="J227" s="468"/>
      <c r="K227" s="468"/>
    </row>
    <row r="228" spans="1:11" ht="12.75" customHeight="1" thickBot="1" x14ac:dyDescent="0.25">
      <c r="A228" s="1745" t="s">
        <v>1145</v>
      </c>
      <c r="B228" s="1746"/>
      <c r="C228" s="1729">
        <f>SUM(C226:C227)</f>
        <v>134180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134180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134180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961839</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2" activePane="bottomLeft" state="frozen"/>
      <selection pane="bottomLeft"/>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330740</v>
      </c>
      <c r="D13" s="466">
        <v>29125</v>
      </c>
      <c r="E13" s="466">
        <v>725</v>
      </c>
      <c r="F13" s="466">
        <v>122500</v>
      </c>
      <c r="G13" s="466">
        <v>30324</v>
      </c>
      <c r="H13" s="466"/>
      <c r="I13" s="467"/>
      <c r="J13" s="467"/>
      <c r="K13" s="1693">
        <f t="shared" si="0"/>
        <v>513414</v>
      </c>
      <c r="L13" s="466">
        <v>483147</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330740</v>
      </c>
      <c r="D33" s="1692">
        <f t="shared" ref="D33:L33" si="1">SUM(D5:D32)</f>
        <v>29125</v>
      </c>
      <c r="E33" s="1692">
        <f t="shared" si="1"/>
        <v>725</v>
      </c>
      <c r="F33" s="1692">
        <f t="shared" si="1"/>
        <v>122500</v>
      </c>
      <c r="G33" s="1692">
        <f t="shared" si="1"/>
        <v>30324</v>
      </c>
      <c r="H33" s="1692">
        <f t="shared" si="1"/>
        <v>0</v>
      </c>
      <c r="I33" s="1692">
        <f t="shared" si="1"/>
        <v>0</v>
      </c>
      <c r="J33" s="1692">
        <f t="shared" si="1"/>
        <v>0</v>
      </c>
      <c r="K33" s="1692">
        <f t="shared" si="1"/>
        <v>513414</v>
      </c>
      <c r="L33" s="1692">
        <f t="shared" si="1"/>
        <v>483147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76573</v>
      </c>
      <c r="D44" s="481">
        <v>28923</v>
      </c>
      <c r="E44" s="481">
        <v>31321</v>
      </c>
      <c r="F44" s="481">
        <v>499</v>
      </c>
      <c r="G44" s="481"/>
      <c r="H44" s="481"/>
      <c r="I44" s="467"/>
      <c r="J44" s="467"/>
      <c r="K44" s="1694">
        <f>SUM(C44:J44)</f>
        <v>137316</v>
      </c>
      <c r="L44" s="481">
        <v>137959</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76573</v>
      </c>
      <c r="D47" s="1692">
        <f t="shared" ref="D47:K47" si="4">SUM(D44:D46)</f>
        <v>28923</v>
      </c>
      <c r="E47" s="1692">
        <f t="shared" si="4"/>
        <v>31321</v>
      </c>
      <c r="F47" s="1692">
        <f t="shared" si="4"/>
        <v>499</v>
      </c>
      <c r="G47" s="1692">
        <f t="shared" si="4"/>
        <v>0</v>
      </c>
      <c r="H47" s="1692">
        <f t="shared" si="4"/>
        <v>0</v>
      </c>
      <c r="I47" s="1692">
        <f t="shared" si="4"/>
        <v>0</v>
      </c>
      <c r="J47" s="1692">
        <f t="shared" si="4"/>
        <v>0</v>
      </c>
      <c r="K47" s="1692">
        <f t="shared" si="4"/>
        <v>137316</v>
      </c>
      <c r="L47" s="1692">
        <f>SUM(L44:L46)</f>
        <v>137959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1420</v>
      </c>
      <c r="D49" s="481">
        <v>108</v>
      </c>
      <c r="E49" s="481">
        <v>219</v>
      </c>
      <c r="F49" s="481"/>
      <c r="G49" s="481"/>
      <c r="H49" s="481"/>
      <c r="I49" s="467"/>
      <c r="J49" s="467"/>
      <c r="K49" s="1694">
        <f>SUM(C49:J49)</f>
        <v>1747</v>
      </c>
      <c r="L49" s="481">
        <v>1741</v>
      </c>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57909</v>
      </c>
      <c r="D51" s="466">
        <v>18593</v>
      </c>
      <c r="E51" s="466">
        <v>14647</v>
      </c>
      <c r="F51" s="466"/>
      <c r="G51" s="466"/>
      <c r="H51" s="466"/>
      <c r="I51" s="467"/>
      <c r="J51" s="467"/>
      <c r="K51" s="1694">
        <f>SUM(C51:J51)</f>
        <v>91149</v>
      </c>
      <c r="L51" s="466">
        <v>98080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59329</v>
      </c>
      <c r="D53" s="1692">
        <f t="shared" ref="D53:L53" si="5">SUM(D49:D52)</f>
        <v>18701</v>
      </c>
      <c r="E53" s="1692">
        <f t="shared" si="5"/>
        <v>14866</v>
      </c>
      <c r="F53" s="1692">
        <f t="shared" si="5"/>
        <v>0</v>
      </c>
      <c r="G53" s="1692">
        <f t="shared" si="5"/>
        <v>0</v>
      </c>
      <c r="H53" s="1692">
        <f t="shared" si="5"/>
        <v>0</v>
      </c>
      <c r="I53" s="1692">
        <f t="shared" si="5"/>
        <v>0</v>
      </c>
      <c r="J53" s="1692">
        <f t="shared" si="5"/>
        <v>0</v>
      </c>
      <c r="K53" s="1692">
        <f t="shared" si="5"/>
        <v>92896</v>
      </c>
      <c r="L53" s="1692">
        <f t="shared" si="5"/>
        <v>99821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14727</v>
      </c>
      <c r="D60" s="466">
        <v>6804</v>
      </c>
      <c r="E60" s="466">
        <v>2783</v>
      </c>
      <c r="F60" s="466">
        <v>652</v>
      </c>
      <c r="G60" s="466"/>
      <c r="H60" s="466"/>
      <c r="I60" s="467"/>
      <c r="J60" s="467"/>
      <c r="K60" s="1694">
        <f t="shared" si="7"/>
        <v>24966</v>
      </c>
      <c r="L60" s="466">
        <v>24736</v>
      </c>
      <c r="M60" s="610"/>
      <c r="N60" s="610"/>
    </row>
    <row r="61" spans="1:14" s="343" customFormat="1" x14ac:dyDescent="0.2">
      <c r="A61" s="1526" t="s">
        <v>206</v>
      </c>
      <c r="B61" s="615">
        <v>2540</v>
      </c>
      <c r="C61" s="466"/>
      <c r="D61" s="466"/>
      <c r="E61" s="466">
        <v>25447</v>
      </c>
      <c r="F61" s="466">
        <v>18038</v>
      </c>
      <c r="G61" s="466"/>
      <c r="H61" s="466"/>
      <c r="I61" s="467"/>
      <c r="J61" s="467"/>
      <c r="K61" s="1694">
        <f t="shared" si="7"/>
        <v>43485</v>
      </c>
      <c r="L61" s="466">
        <v>52692</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14727</v>
      </c>
      <c r="D65" s="1692">
        <f t="shared" ref="D65:L65" si="8">SUM(D59:D64)</f>
        <v>6804</v>
      </c>
      <c r="E65" s="1692">
        <f t="shared" si="8"/>
        <v>28230</v>
      </c>
      <c r="F65" s="1692">
        <f t="shared" si="8"/>
        <v>18690</v>
      </c>
      <c r="G65" s="1692">
        <f t="shared" si="8"/>
        <v>0</v>
      </c>
      <c r="H65" s="1692">
        <f t="shared" si="8"/>
        <v>0</v>
      </c>
      <c r="I65" s="1692">
        <f t="shared" si="8"/>
        <v>0</v>
      </c>
      <c r="J65" s="1692">
        <f t="shared" si="8"/>
        <v>0</v>
      </c>
      <c r="K65" s="1692">
        <f t="shared" si="8"/>
        <v>68451</v>
      </c>
      <c r="L65" s="1692">
        <f t="shared" si="8"/>
        <v>77428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150629</v>
      </c>
      <c r="D74" s="1699">
        <f t="shared" ref="D74:K74" si="10">SUM(D42,D47,D53,D57,D65,D72,D73)</f>
        <v>54428</v>
      </c>
      <c r="E74" s="1699">
        <f t="shared" si="10"/>
        <v>74417</v>
      </c>
      <c r="F74" s="1699">
        <f t="shared" si="10"/>
        <v>19189</v>
      </c>
      <c r="G74" s="1699">
        <f t="shared" si="10"/>
        <v>0</v>
      </c>
      <c r="H74" s="1699">
        <f t="shared" si="10"/>
        <v>0</v>
      </c>
      <c r="I74" s="1699">
        <f t="shared" si="10"/>
        <v>0</v>
      </c>
      <c r="J74" s="1699">
        <f t="shared" si="10"/>
        <v>0</v>
      </c>
      <c r="K74" s="1699">
        <f t="shared" si="10"/>
        <v>298663</v>
      </c>
      <c r="L74" s="1699">
        <f>SUM(L42,L47,L53,L57,L65,L72,L73)</f>
        <v>315208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481369</v>
      </c>
      <c r="D114" s="1692">
        <f t="shared" ref="D114:K114" si="13">SUM(D33,D74,D75,D102,D112,D113)</f>
        <v>83553</v>
      </c>
      <c r="E114" s="1692">
        <f t="shared" si="13"/>
        <v>75142</v>
      </c>
      <c r="F114" s="1692">
        <f t="shared" si="13"/>
        <v>141689</v>
      </c>
      <c r="G114" s="1692">
        <f t="shared" si="13"/>
        <v>30324</v>
      </c>
      <c r="H114" s="1692">
        <f>SUM(H33,H74,H75,H102,H112,H113)</f>
        <v>0</v>
      </c>
      <c r="I114" s="1692">
        <f t="shared" si="13"/>
        <v>0</v>
      </c>
      <c r="J114" s="1692">
        <f t="shared" si="13"/>
        <v>0</v>
      </c>
      <c r="K114" s="1692">
        <f t="shared" si="13"/>
        <v>812077</v>
      </c>
      <c r="L114" s="1692">
        <f>SUM(L33,L74,L75,L102,L112,L113)</f>
        <v>798355</v>
      </c>
    </row>
    <row r="115" spans="1:14" ht="13.5" thickTop="1" x14ac:dyDescent="0.2">
      <c r="A115" s="2173" t="s">
        <v>1053</v>
      </c>
      <c r="B115" s="2174"/>
      <c r="C115" s="619"/>
      <c r="D115" s="619"/>
      <c r="E115" s="619"/>
      <c r="F115" s="619"/>
      <c r="G115" s="619"/>
      <c r="H115" s="619"/>
      <c r="I115" s="619"/>
      <c r="J115" s="619"/>
      <c r="K115" s="1706">
        <f>'Revenues 9-14'!C275-'Expenditures 15-22'!K114</f>
        <v>149762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3" t="s">
        <v>1240</v>
      </c>
      <c r="B152" s="2194"/>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3" t="s">
        <v>1053</v>
      </c>
      <c r="B175" s="2174"/>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3" t="s">
        <v>1053</v>
      </c>
      <c r="B211" s="2174"/>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3" t="s">
        <v>1053</v>
      </c>
      <c r="B296" s="2174"/>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6" t="s">
        <v>1053</v>
      </c>
      <c r="B343" s="218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3" t="s">
        <v>1053</v>
      </c>
      <c r="B368" s="217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Shared Outsourced Services 31</vt:lpstr>
      <vt:lpstr>Itemization 33</vt:lpstr>
      <vt:lpstr>DeficitAFRSum Calc 36</vt:lpstr>
      <vt:lpstr>PCTC-OEPP 27-28</vt:lpstr>
      <vt:lpstr>Contracts Paid in CY 29</vt:lpstr>
      <vt:lpstr>ICR Computation 30</vt:lpstr>
      <vt:lpstr>AC32</vt:lpstr>
      <vt:lpstr>REF 34</vt:lpstr>
      <vt:lpstr>Opinion-Notes 35</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2018-12-04T22:19:09Z</cp:lastPrinted>
  <dcterms:created xsi:type="dcterms:W3CDTF">2003-10-29T19:06:34Z</dcterms:created>
  <dcterms:modified xsi:type="dcterms:W3CDTF">2018-12-19T19:32:38Z</dcterms:modified>
</cp:coreProperties>
</file>