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0" yWindow="0" windowWidth="21570" windowHeight="784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18" sheetId="186" r:id="rId28"/>
    <sheet name="SEFA NOTES" sheetId="173" r:id="rId29"/>
    <sheet name=" SEFA" sheetId="179" r:id="rId30"/>
    <sheet name="SF&amp;QC Sec-1" sheetId="174" r:id="rId31"/>
    <sheet name="SF&amp;QC Sec-2" sheetId="175" r:id="rId32"/>
    <sheet name="SF&amp;QC Sec-3" sheetId="176" r:id="rId33"/>
    <sheet name="SSPAF" sheetId="177" r:id="rId34"/>
  </sheets>
  <definedNames>
    <definedName name="goof" localSheetId="27">#REF!</definedName>
    <definedName name="goof">#REF!</definedName>
    <definedName name="oops" localSheetId="27">#REF!</definedName>
    <definedName name="oops">#REF!</definedName>
    <definedName name="_xlnm.Print_Area" localSheetId="29">' SEFA'!$B$1:$M$46</definedName>
    <definedName name="_xlnm.Print_Area" localSheetId="27">'SEFA 18'!$A$1:$S$63</definedName>
    <definedName name="_xlnm.Print_Area" localSheetId="28">'SEFA NOTES'!$A$1:$F$56</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Print_Area_MI" localSheetId="27">'SEFA 18'!$B$28:$T$62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7">'SEFA 18'!$1:$14</definedName>
    <definedName name="_xlnm.Print_Titles" localSheetId="16">'Shared Outsourced Services 31'!$5:$5</definedName>
    <definedName name="_xlnm.Print_Titles" localSheetId="25">'Single Audit Checklist'!$1:$4</definedName>
    <definedName name="SCHADDRS" localSheetId="29">#REF!</definedName>
    <definedName name="SCHADDRS" localSheetId="17">#REF!</definedName>
    <definedName name="SCHADDRS" localSheetId="21">#REF!</definedName>
    <definedName name="SCHADDRS" localSheetId="4">#REF!</definedName>
    <definedName name="SCHADDRS" localSheetId="27">#REF!</definedName>
    <definedName name="SCHADDRS" localSheetId="28">#REF!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9">#REF!</definedName>
    <definedName name="SCHCTY" localSheetId="17">#REF!</definedName>
    <definedName name="SCHCTY" localSheetId="21">#REF!</definedName>
    <definedName name="SCHCTY" localSheetId="4">#REF!</definedName>
    <definedName name="SCHCTY" localSheetId="27">#REF!</definedName>
    <definedName name="SCHCTY" localSheetId="28">#REF!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9">#REF!</definedName>
    <definedName name="SCHNMBR" localSheetId="17">#REF!</definedName>
    <definedName name="SCHNMBR" localSheetId="21">#REF!</definedName>
    <definedName name="SCHNMBR" localSheetId="4">#REF!</definedName>
    <definedName name="SCHNMBR" localSheetId="27">#REF!</definedName>
    <definedName name="SCHNMBR" localSheetId="28">#REF!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9">#REF!</definedName>
    <definedName name="SCHNME" localSheetId="17">#REF!</definedName>
    <definedName name="SCHNME" localSheetId="21">#REF!</definedName>
    <definedName name="SCHNME" localSheetId="4">#REF!</definedName>
    <definedName name="SCHNME" localSheetId="27">#REF!</definedName>
    <definedName name="SCHNME" localSheetId="28">#REF!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9">#REF!</definedName>
    <definedName name="SUPT" localSheetId="17">#REF!</definedName>
    <definedName name="SUPT" localSheetId="21">#REF!</definedName>
    <definedName name="SUPT" localSheetId="4">#REF!</definedName>
    <definedName name="SUPT" localSheetId="27">#REF!</definedName>
    <definedName name="SUPT" localSheetId="28">#REF!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51" i="186" l="1"/>
  <c r="O53" i="186" s="1"/>
  <c r="M51" i="186"/>
  <c r="M53" i="186" s="1"/>
  <c r="K51" i="186"/>
  <c r="K53" i="186" s="1"/>
  <c r="I51" i="186"/>
  <c r="I53" i="186" s="1"/>
  <c r="G51" i="186"/>
  <c r="G53" i="186" s="1"/>
  <c r="Q48" i="186"/>
  <c r="Q47" i="186"/>
  <c r="O40" i="186"/>
  <c r="K40" i="186"/>
  <c r="K42" i="186" s="1"/>
  <c r="G40" i="186"/>
  <c r="Q36" i="186"/>
  <c r="Q35" i="186"/>
  <c r="M34" i="186"/>
  <c r="I34" i="186"/>
  <c r="Q31" i="186"/>
  <c r="M30" i="186"/>
  <c r="I30" i="186"/>
  <c r="I40" i="186" s="1"/>
  <c r="O24" i="186"/>
  <c r="M24" i="186"/>
  <c r="K24" i="186"/>
  <c r="G24" i="186"/>
  <c r="Q23" i="186"/>
  <c r="Q22" i="186"/>
  <c r="I22" i="186"/>
  <c r="Q20" i="186"/>
  <c r="Q19" i="186"/>
  <c r="I19" i="186"/>
  <c r="M12" i="186"/>
  <c r="K12" i="186"/>
  <c r="M11" i="186"/>
  <c r="A16" i="169"/>
  <c r="A7" i="169"/>
  <c r="A15" i="169"/>
  <c r="Q51" i="186" l="1"/>
  <c r="Q53" i="186" s="1"/>
  <c r="M40" i="186"/>
  <c r="M42" i="186" s="1"/>
  <c r="O42" i="186"/>
  <c r="O55" i="186" s="1"/>
  <c r="Q30" i="186"/>
  <c r="I24" i="186"/>
  <c r="Q24" i="186"/>
  <c r="I42" i="186"/>
  <c r="I55" i="186" s="1"/>
  <c r="K55" i="186"/>
  <c r="G42" i="186"/>
  <c r="G55" i="186" s="1"/>
  <c r="M55" i="186"/>
  <c r="Q34" i="186"/>
  <c r="Q40" i="186" s="1"/>
  <c r="Q42" i="186" l="1"/>
  <c r="Q55" i="186" s="1"/>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4" i="169"/>
  <c r="K18" i="169"/>
  <c r="G18" i="169"/>
  <c r="G15" i="169"/>
  <c r="I13" i="169"/>
  <c r="G11" i="169"/>
  <c r="G10" i="169"/>
  <c r="G9" i="169"/>
  <c r="G7" i="169"/>
  <c r="E7" i="169"/>
  <c r="B2" i="179"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A2" i="170"/>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D7765" i="106" s="1"/>
  <c r="B7764" i="106"/>
  <c r="D7764" i="106" s="1"/>
  <c r="J85" i="28"/>
  <c r="B7758" i="106" s="1"/>
  <c r="D7758" i="106" s="1"/>
  <c r="J88" i="28"/>
  <c r="K6" i="29"/>
  <c r="B7763" i="106" s="1"/>
  <c r="B7762" i="106"/>
  <c r="K12" i="12"/>
  <c r="K23" i="12"/>
  <c r="K24" i="12" s="1"/>
  <c r="B7733" i="106" s="1"/>
  <c r="J12" i="12"/>
  <c r="J21" i="12"/>
  <c r="B7727" i="106" s="1"/>
  <c r="D7727" i="106" s="1"/>
  <c r="B7729" i="106"/>
  <c r="D7729" i="106" s="1"/>
  <c r="B7734" i="106"/>
  <c r="D7734" i="106" s="1"/>
  <c r="B7726" i="106"/>
  <c r="F162" i="34"/>
  <c r="B30" i="36"/>
  <c r="B33" i="36" s="1"/>
  <c r="B43" i="36" s="1"/>
  <c r="B56" i="36" s="1"/>
  <c r="B66" i="36" s="1"/>
  <c r="B70" i="36" s="1"/>
  <c r="B74" i="36" s="1"/>
  <c r="C191" i="5"/>
  <c r="B4395" i="106" s="1"/>
  <c r="D4395" i="106" s="1"/>
  <c r="C201" i="5"/>
  <c r="B5246" i="106" s="1"/>
  <c r="D5246" i="106" s="1"/>
  <c r="C211" i="5"/>
  <c r="B5260" i="106" s="1"/>
  <c r="D5260" i="106" s="1"/>
  <c r="C216" i="5"/>
  <c r="B4411" i="106" s="1"/>
  <c r="D4411" i="106" s="1"/>
  <c r="C224" i="5"/>
  <c r="B5286" i="106" s="1"/>
  <c r="D5286" i="106" s="1"/>
  <c r="C228" i="5"/>
  <c r="C259" i="5"/>
  <c r="B7761" i="106"/>
  <c r="D7761" i="106" s="1"/>
  <c r="L127" i="29"/>
  <c r="L129" i="29" s="1"/>
  <c r="L139" i="29"/>
  <c r="L149" i="29"/>
  <c r="I7" i="145"/>
  <c r="I6" i="145"/>
  <c r="D82" i="36"/>
  <c r="D78" i="36"/>
  <c r="K75" i="29"/>
  <c r="K130" i="29"/>
  <c r="B2805" i="106" s="1"/>
  <c r="D2805" i="106" s="1"/>
  <c r="K185" i="29"/>
  <c r="F14" i="4" s="1"/>
  <c r="B2597" i="106" s="1"/>
  <c r="D2597"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2" i="106"/>
  <c r="D4882" i="106" s="1"/>
  <c r="B4883" i="106"/>
  <c r="D4883" i="106" s="1"/>
  <c r="B4884" i="106"/>
  <c r="D4884" i="106" s="1"/>
  <c r="B4885" i="106"/>
  <c r="D4885" i="106" s="1"/>
  <c r="B4886" i="106"/>
  <c r="D4886" i="106" s="1"/>
  <c r="B4887" i="106"/>
  <c r="D4887"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2" i="106"/>
  <c r="D6122" i="106" s="1"/>
  <c r="B6125" i="106"/>
  <c r="D6125" i="106" s="1"/>
  <c r="B6126" i="106"/>
  <c r="D6126" i="106" s="1"/>
  <c r="B6127" i="106"/>
  <c r="D6127" i="106" s="1"/>
  <c r="B6128" i="106"/>
  <c r="D6128" i="106" s="1"/>
  <c r="B6129" i="106"/>
  <c r="D6129" i="106" s="1"/>
  <c r="B6130" i="106"/>
  <c r="D6130" i="106" s="1"/>
  <c r="B6133" i="106"/>
  <c r="D6133" i="106" s="1"/>
  <c r="B6134" i="106"/>
  <c r="D6134" i="106" s="1"/>
  <c r="B6135" i="106"/>
  <c r="D6135" i="106" s="1"/>
  <c r="B6136" i="106"/>
  <c r="D6136" i="106" s="1"/>
  <c r="B6137" i="106"/>
  <c r="D6137" i="106" s="1"/>
  <c r="B6138" i="106"/>
  <c r="D6138" i="106" s="1"/>
  <c r="B6139" i="106"/>
  <c r="D6139" i="106" s="1"/>
  <c r="B6142" i="106"/>
  <c r="D6142" i="106" s="1"/>
  <c r="B6143" i="106"/>
  <c r="D6143" i="106" s="1"/>
  <c r="B6144" i="106"/>
  <c r="D6144" i="106" s="1"/>
  <c r="B6145" i="106"/>
  <c r="D6145" i="106" s="1"/>
  <c r="B6146" i="106"/>
  <c r="D6146" i="106" s="1"/>
  <c r="B6147" i="106"/>
  <c r="D6147" i="106" s="1"/>
  <c r="B6148" i="106"/>
  <c r="D6148" i="106" s="1"/>
  <c r="B6151" i="106"/>
  <c r="D6151" i="106" s="1"/>
  <c r="B6152" i="106"/>
  <c r="D6152" i="106" s="1"/>
  <c r="B6153" i="106"/>
  <c r="D6153" i="106" s="1"/>
  <c r="B6154" i="106"/>
  <c r="D6154" i="106" s="1"/>
  <c r="B6155" i="106"/>
  <c r="D6155" i="106" s="1"/>
  <c r="B6156" i="106"/>
  <c r="D6156" i="106" s="1"/>
  <c r="B6157" i="106"/>
  <c r="D6157" i="106" s="1"/>
  <c r="B6160" i="106"/>
  <c r="D6160" i="106" s="1"/>
  <c r="B6161" i="106"/>
  <c r="D6161" i="106" s="1"/>
  <c r="B6162" i="106"/>
  <c r="D6162" i="106" s="1"/>
  <c r="B6163" i="106"/>
  <c r="D6163" i="106" s="1"/>
  <c r="B6164" i="106"/>
  <c r="D6164" i="106" s="1"/>
  <c r="B6165" i="106"/>
  <c r="D6165" i="106" s="1"/>
  <c r="B6166" i="106"/>
  <c r="D6166" i="106" s="1"/>
  <c r="B6169" i="106"/>
  <c r="D6169" i="106" s="1"/>
  <c r="B6170" i="106"/>
  <c r="D6170" i="106" s="1"/>
  <c r="B6171" i="106"/>
  <c r="D6171" i="106" s="1"/>
  <c r="B6172" i="106"/>
  <c r="D6172" i="106" s="1"/>
  <c r="B6173" i="106"/>
  <c r="D6173" i="106" s="1"/>
  <c r="B6174" i="106"/>
  <c r="D6174" i="106" s="1"/>
  <c r="B6175" i="106"/>
  <c r="D6175" i="106" s="1"/>
  <c r="B6176" i="106"/>
  <c r="D6176" i="106" s="1"/>
  <c r="B6178" i="106"/>
  <c r="D6178" i="106" s="1"/>
  <c r="B6179" i="106"/>
  <c r="D6179"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8" i="106"/>
  <c r="D6258" i="106" s="1"/>
  <c r="B6259" i="106"/>
  <c r="D6259" i="106" s="1"/>
  <c r="B6260" i="106"/>
  <c r="D6260" i="106" s="1"/>
  <c r="J76" i="4"/>
  <c r="B6261" i="106" s="1"/>
  <c r="D6261" i="106" s="1"/>
  <c r="B6265" i="106"/>
  <c r="D6265" i="106" s="1"/>
  <c r="B6290" i="106"/>
  <c r="D6290" i="106" s="1"/>
  <c r="B6291" i="106"/>
  <c r="D6291" i="106" s="1"/>
  <c r="B6292" i="106"/>
  <c r="D6292" i="106" s="1"/>
  <c r="B6293" i="106"/>
  <c r="D6293" i="106" s="1"/>
  <c r="B6294" i="106"/>
  <c r="D6294" i="106" s="1"/>
  <c r="B6295" i="106"/>
  <c r="D6295" i="106" s="1"/>
  <c r="B6297" i="106"/>
  <c r="D6297" i="106" s="1"/>
  <c r="B6299" i="106"/>
  <c r="D6299"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20" i="106"/>
  <c r="D6320" i="106" s="1"/>
  <c r="B6321" i="106"/>
  <c r="D6321" i="106" s="1"/>
  <c r="B6322" i="106"/>
  <c r="D6322" i="106" s="1"/>
  <c r="B6323" i="106"/>
  <c r="D6323" i="106" s="1"/>
  <c r="B6324" i="106"/>
  <c r="D6324" i="106" s="1"/>
  <c r="B6325" i="106"/>
  <c r="D6325" i="106" s="1"/>
  <c r="B6326" i="106"/>
  <c r="D6326" i="106" s="1"/>
  <c r="B6330" i="106"/>
  <c r="D6330" i="106" s="1"/>
  <c r="B6331" i="106"/>
  <c r="D6331" i="106" s="1"/>
  <c r="B6332" i="106"/>
  <c r="D6332" i="106" s="1"/>
  <c r="B6333" i="106"/>
  <c r="D6333" i="106" s="1"/>
  <c r="B6334" i="106"/>
  <c r="D6334" i="106" s="1"/>
  <c r="B6335" i="106"/>
  <c r="D6335" i="106" s="1"/>
  <c r="B6336" i="106"/>
  <c r="D6336" i="106" s="1"/>
  <c r="B6339" i="106"/>
  <c r="D6339" i="106" s="1"/>
  <c r="B6340" i="106"/>
  <c r="D6340" i="106" s="1"/>
  <c r="B6341" i="106"/>
  <c r="D6341" i="106" s="1"/>
  <c r="B6342" i="106"/>
  <c r="D6342" i="106" s="1"/>
  <c r="B6343" i="106"/>
  <c r="D6343" i="106" s="1"/>
  <c r="B6344" i="106"/>
  <c r="D6344" i="106" s="1"/>
  <c r="B6345" i="106"/>
  <c r="D6345" i="106" s="1"/>
  <c r="B6346" i="106"/>
  <c r="D6346" i="106" s="1"/>
  <c r="B6349" i="106"/>
  <c r="D6349"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c r="B6375" i="106"/>
  <c r="D6375" i="106" s="1"/>
  <c r="B6376" i="106"/>
  <c r="D6376" i="106" s="1"/>
  <c r="B6377" i="106"/>
  <c r="D6377" i="106"/>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c r="B6633" i="106"/>
  <c r="D6633" i="106" s="1"/>
  <c r="B6634" i="106"/>
  <c r="D6634" i="106" s="1"/>
  <c r="B6635" i="106"/>
  <c r="D6635" i="106" s="1"/>
  <c r="B6636" i="106"/>
  <c r="D6636" i="106" s="1"/>
  <c r="B6637" i="106"/>
  <c r="D6637" i="106" s="1"/>
  <c r="B6638" i="106"/>
  <c r="D6638" i="106" s="1"/>
  <c r="B6639" i="106"/>
  <c r="D6639" i="106" s="1"/>
  <c r="B6640" i="106"/>
  <c r="D6640" i="106"/>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c r="B6658" i="106"/>
  <c r="D6658" i="106" s="1"/>
  <c r="B6659" i="106"/>
  <c r="D6659" i="106" s="1"/>
  <c r="B6660" i="106"/>
  <c r="D6660" i="106" s="1"/>
  <c r="B6661" i="106"/>
  <c r="D6661" i="106" s="1"/>
  <c r="B6662" i="106"/>
  <c r="D6662" i="106" s="1"/>
  <c r="B6663" i="106"/>
  <c r="D6663" i="106" s="1"/>
  <c r="B6664" i="106"/>
  <c r="D6664" i="106"/>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c r="B6682" i="106"/>
  <c r="D6682" i="106" s="1"/>
  <c r="B6683" i="106"/>
  <c r="D6683" i="106" s="1"/>
  <c r="B6684" i="106"/>
  <c r="D6684" i="106"/>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4" i="106"/>
  <c r="D7094"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208" i="106"/>
  <c r="D7208" i="106" s="1"/>
  <c r="K337" i="29"/>
  <c r="B7209" i="106" s="1"/>
  <c r="D7209" i="106" s="1"/>
  <c r="B7210" i="106"/>
  <c r="D7210" i="106" s="1"/>
  <c r="K338" i="29"/>
  <c r="B7212" i="106"/>
  <c r="D7212" i="106" s="1"/>
  <c r="K339" i="29"/>
  <c r="B7213" i="106" s="1"/>
  <c r="D7213" i="106" s="1"/>
  <c r="H340" i="29"/>
  <c r="B7236" i="106"/>
  <c r="D7236" i="106" s="1"/>
  <c r="B7237" i="106"/>
  <c r="D7237"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3" i="106"/>
  <c r="B7735" i="106"/>
  <c r="D7735" i="106" s="1"/>
  <c r="B7736" i="106"/>
  <c r="D7736" i="106" s="1"/>
  <c r="B7737" i="106"/>
  <c r="D7737" i="106" s="1"/>
  <c r="B7738" i="106"/>
  <c r="D7738" i="106" s="1"/>
  <c r="K26" i="12"/>
  <c r="B7743" i="106" s="1"/>
  <c r="D7743" i="106" s="1"/>
  <c r="D7744" i="106"/>
  <c r="B7748" i="106"/>
  <c r="D7748" i="106" s="1"/>
  <c r="B7749" i="106"/>
  <c r="D7749" i="106" s="1"/>
  <c r="B7750" i="106"/>
  <c r="D7750" i="106" s="1"/>
  <c r="B7751" i="106"/>
  <c r="D7751" i="106" s="1"/>
  <c r="B7752" i="106"/>
  <c r="D7752" i="106" s="1"/>
  <c r="B7753" i="106"/>
  <c r="D7753" i="106" s="1"/>
  <c r="B7754" i="106"/>
  <c r="D7754" i="106" s="1"/>
  <c r="B7756" i="106"/>
  <c r="D7756" i="106" s="1"/>
  <c r="B7757" i="106"/>
  <c r="D7757" i="106" s="1"/>
  <c r="D7762" i="106"/>
  <c r="D7763"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71" i="36"/>
  <c r="D79" i="36"/>
  <c r="B64" i="127"/>
  <c r="B65" i="127"/>
  <c r="D26" i="108"/>
  <c r="F26" i="108"/>
  <c r="E27" i="108"/>
  <c r="F27" i="108"/>
  <c r="G27" i="108"/>
  <c r="F36" i="108"/>
  <c r="G28"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C68" i="34"/>
  <c r="D68" i="34"/>
  <c r="C69" i="34"/>
  <c r="D69" i="34"/>
  <c r="F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3" i="7"/>
  <c r="B3725" i="106" s="1"/>
  <c r="D3725" i="106" s="1"/>
  <c r="B14" i="7"/>
  <c r="B1754" i="106" s="1"/>
  <c r="D1754" i="106" s="1"/>
  <c r="B15" i="7"/>
  <c r="B1756" i="106" s="1"/>
  <c r="D1756" i="106" s="1"/>
  <c r="B16" i="7"/>
  <c r="B3446" i="106" s="1"/>
  <c r="D3446" i="106" s="1"/>
  <c r="B17" i="7"/>
  <c r="B4102" i="106" s="1"/>
  <c r="D4102"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40" i="29"/>
  <c r="C12" i="5"/>
  <c r="D12" i="5"/>
  <c r="B5334" i="106" s="1"/>
  <c r="D5334" i="106" s="1"/>
  <c r="E12" i="5"/>
  <c r="B5513" i="106" s="1"/>
  <c r="D5513" i="106" s="1"/>
  <c r="F12" i="5"/>
  <c r="B5557" i="106" s="1"/>
  <c r="D5557" i="106" s="1"/>
  <c r="G12" i="5"/>
  <c r="B5725" i="106" s="1"/>
  <c r="D5725" i="106" s="1"/>
  <c r="H12" i="5"/>
  <c r="B5873" i="106" s="1"/>
  <c r="D5873" i="106" s="1"/>
  <c r="I12" i="5"/>
  <c r="B5918" i="106" s="1"/>
  <c r="D5918"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C184" i="5"/>
  <c r="B5232" i="106" s="1"/>
  <c r="D5232" i="106" s="1"/>
  <c r="D184" i="5"/>
  <c r="B5425" i="106" s="1"/>
  <c r="D5425" i="106" s="1"/>
  <c r="F184" i="5"/>
  <c r="B5658" i="106" s="1"/>
  <c r="D5658" i="106" s="1"/>
  <c r="G184" i="5"/>
  <c r="B5784" i="106" s="1"/>
  <c r="D5784" i="106" s="1"/>
  <c r="H184" i="5"/>
  <c r="B5908" i="106" s="1"/>
  <c r="D5908" i="106" s="1"/>
  <c r="D191" i="5"/>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B2633" i="106"/>
  <c r="D2633" i="106" s="1"/>
  <c r="D7" i="118"/>
  <c r="D8" i="118"/>
  <c r="D9" i="118"/>
  <c r="H14" i="118"/>
  <c r="H19" i="118"/>
  <c r="H24" i="118"/>
  <c r="H29" i="118"/>
  <c r="H33" i="118"/>
  <c r="D11" i="37"/>
  <c r="D22" i="37"/>
  <c r="J22" i="37"/>
  <c r="D24" i="37"/>
  <c r="B4270" i="106" s="1"/>
  <c r="D4270" i="106" s="1"/>
  <c r="N22" i="3" l="1"/>
  <c r="B283" i="106" s="1"/>
  <c r="D283" i="106" s="1"/>
  <c r="L5" i="11"/>
  <c r="B2056" i="106" s="1"/>
  <c r="D2056" i="106" s="1"/>
  <c r="D6103" i="106"/>
  <c r="L15" i="11"/>
  <c r="B3459" i="106" s="1"/>
  <c r="D3459" i="106" s="1"/>
  <c r="I24" i="12"/>
  <c r="I26" i="12" s="1"/>
  <c r="B7741" i="106" s="1"/>
  <c r="D7741" i="106" s="1"/>
  <c r="H28" i="118"/>
  <c r="F50" i="34"/>
  <c r="F21" i="8"/>
  <c r="B1879" i="106" s="1"/>
  <c r="D1879" i="106" s="1"/>
  <c r="G33" i="108"/>
  <c r="F35" i="34"/>
  <c r="F46" i="34"/>
  <c r="F42" i="34"/>
  <c r="J210" i="29"/>
  <c r="B7072" i="106" s="1"/>
  <c r="D7072" i="106" s="1"/>
  <c r="G172" i="5"/>
  <c r="G173" i="5" s="1"/>
  <c r="B5778" i="106" s="1"/>
  <c r="D5778" i="106" s="1"/>
  <c r="D5" i="4"/>
  <c r="B3406" i="106" s="1"/>
  <c r="D3406" i="106" s="1"/>
  <c r="F38" i="34"/>
  <c r="F41" i="34"/>
  <c r="F70" i="34"/>
  <c r="B1746" i="106"/>
  <c r="D1746" i="106" s="1"/>
  <c r="F49" i="34"/>
  <c r="B7074" i="106"/>
  <c r="D7074" i="106" s="1"/>
  <c r="I210" i="29"/>
  <c r="B7071" i="106" s="1"/>
  <c r="D7071" i="106" s="1"/>
  <c r="D13" i="7"/>
  <c r="B3726" i="106" s="1"/>
  <c r="D3726" i="106" s="1"/>
  <c r="F45" i="34"/>
  <c r="E35" i="108"/>
  <c r="F68" i="34"/>
  <c r="D31" i="108"/>
  <c r="H112" i="29"/>
  <c r="B7018" i="106" s="1"/>
  <c r="D7018" i="106" s="1"/>
  <c r="G35" i="108"/>
  <c r="F37" i="34"/>
  <c r="C129" i="29"/>
  <c r="B1225" i="106" s="1"/>
  <c r="D1225" i="106" s="1"/>
  <c r="F131" i="34"/>
  <c r="F106" i="34"/>
  <c r="G26" i="108"/>
  <c r="E26" i="108"/>
  <c r="J129" i="29"/>
  <c r="B7038" i="106" s="1"/>
  <c r="D7038" i="106" s="1"/>
  <c r="D54" i="36"/>
  <c r="J77" i="4"/>
  <c r="B6262" i="106" s="1"/>
  <c r="D6262" i="106" s="1"/>
  <c r="I173" i="5"/>
  <c r="B4216" i="106" s="1"/>
  <c r="D4216" i="106" s="1"/>
  <c r="F71" i="34"/>
  <c r="B5752" i="106"/>
  <c r="D5752" i="106" s="1"/>
  <c r="G5" i="4"/>
  <c r="B3409" i="106" s="1"/>
  <c r="D3409" i="106" s="1"/>
  <c r="B2836" i="106"/>
  <c r="D2836" i="106" s="1"/>
  <c r="K184" i="29"/>
  <c r="F13" i="4" s="1"/>
  <c r="B2596" i="106" s="1"/>
  <c r="D2596" i="106" s="1"/>
  <c r="F77" i="4"/>
  <c r="B3255" i="106" s="1"/>
  <c r="D3255" i="106" s="1"/>
  <c r="E174" i="29"/>
  <c r="B1309" i="106" s="1"/>
  <c r="D1309" i="106" s="1"/>
  <c r="D14" i="4"/>
  <c r="B2570" i="106" s="1"/>
  <c r="D2570" i="106" s="1"/>
  <c r="G39" i="108"/>
  <c r="F56" i="34"/>
  <c r="G29" i="108"/>
  <c r="E29" i="108"/>
  <c r="B1274" i="106"/>
  <c r="D1274" i="106" s="1"/>
  <c r="I129" i="29"/>
  <c r="B7037" i="106" s="1"/>
  <c r="D7037" i="106" s="1"/>
  <c r="G15" i="145"/>
  <c r="F44" i="34"/>
  <c r="F37" i="108"/>
  <c r="D37" i="108"/>
  <c r="F52" i="34"/>
  <c r="G34" i="108"/>
  <c r="B2724" i="106"/>
  <c r="D2724" i="106" s="1"/>
  <c r="F128" i="34"/>
  <c r="C109" i="5"/>
  <c r="B5121" i="106" s="1"/>
  <c r="D5121" i="106" s="1"/>
  <c r="B5096" i="106"/>
  <c r="D5096" i="106" s="1"/>
  <c r="D17" i="7"/>
  <c r="B4104" i="106" s="1"/>
  <c r="D4104" i="106" s="1"/>
  <c r="D4" i="7"/>
  <c r="B1760" i="106" s="1"/>
  <c r="D1760" i="106" s="1"/>
  <c r="D109" i="5"/>
  <c r="D9" i="7"/>
  <c r="B1767" i="106" s="1"/>
  <c r="D1767" i="106" s="1"/>
  <c r="C14" i="4"/>
  <c r="B2558" i="106" s="1"/>
  <c r="D2558" i="106" s="1"/>
  <c r="I274" i="5"/>
  <c r="B4435" i="106" s="1"/>
  <c r="D4435" i="106" s="1"/>
  <c r="B4396" i="106"/>
  <c r="D4396" i="106" s="1"/>
  <c r="G109" i="5"/>
  <c r="B5066" i="106"/>
  <c r="D5066" i="106" s="1"/>
  <c r="F62" i="34"/>
  <c r="F34" i="34"/>
  <c r="B6995" i="106"/>
  <c r="D6995" i="106" s="1"/>
  <c r="B6289" i="106"/>
  <c r="D6289" i="106" s="1"/>
  <c r="B2734" i="106"/>
  <c r="D2734" i="106" s="1"/>
  <c r="L13" i="11"/>
  <c r="B2060" i="106" s="1"/>
  <c r="D2060" i="106" s="1"/>
  <c r="B1996" i="106"/>
  <c r="D1996" i="106" s="1"/>
  <c r="B1868" i="106"/>
  <c r="D1868" i="106" s="1"/>
  <c r="J23" i="12"/>
  <c r="B7730" i="106" s="1"/>
  <c r="D7730" i="106" s="1"/>
  <c r="C172" i="5"/>
  <c r="F127" i="34"/>
  <c r="D5" i="7"/>
  <c r="B1761" i="106" s="1"/>
  <c r="D1761" i="106" s="1"/>
  <c r="F36" i="34"/>
  <c r="K285" i="29"/>
  <c r="B1329" i="106"/>
  <c r="D1329" i="106" s="1"/>
  <c r="F61" i="34"/>
  <c r="F111" i="34"/>
  <c r="H173" i="5"/>
  <c r="D69" i="36"/>
  <c r="D15" i="7"/>
  <c r="B1772" i="106" s="1"/>
  <c r="D1772" i="106" s="1"/>
  <c r="F130" i="34"/>
  <c r="K28" i="118"/>
  <c r="O27" i="118" s="1"/>
  <c r="O29" i="118" s="1"/>
  <c r="G14" i="4"/>
  <c r="B2609" i="106" s="1"/>
  <c r="D2609" i="106" s="1"/>
  <c r="E38" i="108"/>
  <c r="G30" i="108"/>
  <c r="F28" i="108"/>
  <c r="H76" i="4"/>
  <c r="B3298" i="106" s="1"/>
  <c r="D3298" i="106" s="1"/>
  <c r="G210" i="29"/>
  <c r="B1124" i="106"/>
  <c r="D1124" i="106" s="1"/>
  <c r="H109" i="5"/>
  <c r="G38" i="108"/>
  <c r="E30" i="108"/>
  <c r="E28" i="108"/>
  <c r="E109" i="5"/>
  <c r="E4" i="4" s="1"/>
  <c r="B2630" i="106" s="1"/>
  <c r="D2630" i="106" s="1"/>
  <c r="F19" i="7"/>
  <c r="B1807" i="106" s="1"/>
  <c r="D1807" i="106" s="1"/>
  <c r="D7" i="7"/>
  <c r="B1763" i="106" s="1"/>
  <c r="D1763" i="106" s="1"/>
  <c r="F136" i="34"/>
  <c r="F172" i="5"/>
  <c r="B5644" i="106" s="1"/>
  <c r="D5644" i="106" s="1"/>
  <c r="L312" i="29"/>
  <c r="B3689" i="106"/>
  <c r="D3689" i="106" s="1"/>
  <c r="B1410" i="106"/>
  <c r="D1410" i="106" s="1"/>
  <c r="H295" i="29"/>
  <c r="B1454" i="106" s="1"/>
  <c r="D1454" i="106" s="1"/>
  <c r="B4156" i="106"/>
  <c r="D4156" i="106" s="1"/>
  <c r="H172" i="29"/>
  <c r="H174" i="29" s="1"/>
  <c r="B1318" i="106" s="1"/>
  <c r="D1318" i="106" s="1"/>
  <c r="B2823" i="106"/>
  <c r="D2823" i="106" s="1"/>
  <c r="J90" i="28"/>
  <c r="K168" i="29"/>
  <c r="K172" i="29" s="1"/>
  <c r="K174" i="29" s="1"/>
  <c r="F10" i="34" s="1"/>
  <c r="E102" i="29"/>
  <c r="B2790" i="106" s="1"/>
  <c r="D2790" i="106" s="1"/>
  <c r="K137" i="29"/>
  <c r="K84" i="29"/>
  <c r="B2088" i="106" s="1"/>
  <c r="D2088" i="106" s="1"/>
  <c r="B79" i="36"/>
  <c r="B77" i="36"/>
  <c r="F105" i="34"/>
  <c r="F107" i="34"/>
  <c r="F109"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F16" i="11"/>
  <c r="B2031" i="106" s="1"/>
  <c r="D2031" i="106" s="1"/>
  <c r="F48" i="34"/>
  <c r="F40" i="34"/>
  <c r="B6901" i="106"/>
  <c r="D6901" i="106" s="1"/>
  <c r="F51" i="34"/>
  <c r="B6885" i="106"/>
  <c r="D6885" i="106" s="1"/>
  <c r="F43" i="34"/>
  <c r="B7211" i="106"/>
  <c r="D7211" i="106" s="1"/>
  <c r="K340" i="29"/>
  <c r="B6893" i="106"/>
  <c r="D6893" i="106" s="1"/>
  <c r="F47" i="34"/>
  <c r="B6877" i="106"/>
  <c r="D6877" i="106" s="1"/>
  <c r="F39" i="34"/>
  <c r="B3703" i="106"/>
  <c r="D3703"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503" i="106"/>
  <c r="B7531" i="106"/>
  <c r="B7214" i="106"/>
  <c r="D7214"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L151" i="29"/>
  <c r="C273" i="5"/>
  <c r="B7270" i="106"/>
  <c r="H22" i="37" l="1"/>
  <c r="D7256" i="106"/>
  <c r="D7251" i="106"/>
  <c r="D7253" i="106"/>
  <c r="J24" i="12"/>
  <c r="D7250" i="106"/>
  <c r="I7" i="4"/>
  <c r="B4444" i="106" s="1"/>
  <c r="D4444" i="106" s="1"/>
  <c r="B5770" i="106"/>
  <c r="D5770" i="106" s="1"/>
  <c r="F66" i="34"/>
  <c r="H77" i="4"/>
  <c r="B3299" i="106" s="1"/>
  <c r="D3299" i="106" s="1"/>
  <c r="D41" i="108"/>
  <c r="E43" i="108" s="1"/>
  <c r="J151" i="29"/>
  <c r="B7052" i="106" s="1"/>
  <c r="D7052" i="106" s="1"/>
  <c r="C151" i="29"/>
  <c r="B1226" i="106" s="1"/>
  <c r="D1226" i="106" s="1"/>
  <c r="I6" i="4"/>
  <c r="B5011" i="106" s="1"/>
  <c r="D5011" i="106" s="1"/>
  <c r="L16" i="11"/>
  <c r="B2061" i="106" s="1"/>
  <c r="D2061" i="106" s="1"/>
  <c r="F41" i="108"/>
  <c r="G43" i="108" s="1"/>
  <c r="B1328" i="106"/>
  <c r="D1328" i="106" s="1"/>
  <c r="G6" i="4"/>
  <c r="B2604" i="106" s="1"/>
  <c r="D2604" i="106" s="1"/>
  <c r="B1381" i="106"/>
  <c r="D1381" i="106" s="1"/>
  <c r="B1317" i="106"/>
  <c r="D1317" i="106" s="1"/>
  <c r="I151" i="29"/>
  <c r="F59" i="34" s="1"/>
  <c r="D274" i="5"/>
  <c r="D7" i="4" s="1"/>
  <c r="L114" i="29"/>
  <c r="C114" i="29"/>
  <c r="B757" i="106" s="1"/>
  <c r="D757" i="106" s="1"/>
  <c r="C4" i="4"/>
  <c r="B2551" i="106" s="1"/>
  <c r="D2551" i="106" s="1"/>
  <c r="B1365" i="106"/>
  <c r="D1365" i="106" s="1"/>
  <c r="F65" i="34"/>
  <c r="D7252" i="106"/>
  <c r="B5356" i="106"/>
  <c r="D5356" i="106" s="1"/>
  <c r="D4" i="4"/>
  <c r="B2564" i="106" s="1"/>
  <c r="D2564" i="106" s="1"/>
  <c r="F73" i="34"/>
  <c r="G15" i="4"/>
  <c r="B6032" i="106" s="1"/>
  <c r="D6032" i="106" s="1"/>
  <c r="B5914" i="106"/>
  <c r="D5914" i="106" s="1"/>
  <c r="H151" i="29"/>
  <c r="B1273" i="106" s="1"/>
  <c r="D1273" i="106" s="1"/>
  <c r="B5527" i="106"/>
  <c r="D5527" i="106" s="1"/>
  <c r="F274" i="5"/>
  <c r="F7" i="4" s="1"/>
  <c r="B2594" i="106" s="1"/>
  <c r="D2594" i="106" s="1"/>
  <c r="B6024" i="106"/>
  <c r="D6024" i="106" s="1"/>
  <c r="G4" i="4"/>
  <c r="B2603" i="106" s="1"/>
  <c r="D2603" i="106" s="1"/>
  <c r="F173" i="5"/>
  <c r="B5906" i="106"/>
  <c r="D5906" i="106" s="1"/>
  <c r="H6" i="4"/>
  <c r="B2656" i="106" s="1"/>
  <c r="D2656" i="106" s="1"/>
  <c r="H275" i="5"/>
  <c r="B5915" i="106" s="1"/>
  <c r="D5915" i="106" s="1"/>
  <c r="D7254" i="106"/>
  <c r="J16" i="4"/>
  <c r="B6226" i="106" s="1"/>
  <c r="D6226" i="106" s="1"/>
  <c r="D7255" i="106"/>
  <c r="B7215" i="106"/>
  <c r="D7215" i="106" s="1"/>
  <c r="B3724" i="106"/>
  <c r="D3724" i="106" s="1"/>
  <c r="B6025" i="106"/>
  <c r="D6025" i="106" s="1"/>
  <c r="H4" i="4"/>
  <c r="B5214" i="106"/>
  <c r="D5214" i="106" s="1"/>
  <c r="C173" i="5"/>
  <c r="B7760" i="106"/>
  <c r="D7760" i="106" s="1"/>
  <c r="D24" i="36"/>
  <c r="K102" i="29"/>
  <c r="F53" i="34" s="1"/>
  <c r="B1515" i="106"/>
  <c r="D1515" i="106" s="1"/>
  <c r="G16" i="4"/>
  <c r="B2611" i="106" s="1"/>
  <c r="D2611" i="106" s="1"/>
  <c r="B3674" i="106"/>
  <c r="D3674"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K279" i="29"/>
  <c r="B1481" i="106"/>
  <c r="D1481" i="106" s="1"/>
  <c r="B2102" i="106"/>
  <c r="D2102" i="106" s="1"/>
  <c r="H15" i="4"/>
  <c r="B2660" i="106" s="1"/>
  <c r="D2660" i="106" s="1"/>
  <c r="B4171" i="106"/>
  <c r="D4171" i="106" s="1"/>
  <c r="N36" i="3"/>
  <c r="J114" i="29"/>
  <c r="B7021" i="106" s="1"/>
  <c r="D7021" i="106" s="1"/>
  <c r="B6978" i="106"/>
  <c r="D6978" i="106" s="1"/>
  <c r="B1108" i="106"/>
  <c r="D1108" i="106" s="1"/>
  <c r="E19" i="108"/>
  <c r="C12" i="4"/>
  <c r="G19" i="108"/>
  <c r="B5544" i="106"/>
  <c r="D5544" i="106" s="1"/>
  <c r="E6" i="4"/>
  <c r="G22" i="108"/>
  <c r="B1119" i="106"/>
  <c r="D1119" i="106" s="1"/>
  <c r="E22" i="108"/>
  <c r="G12" i="145"/>
  <c r="G19" i="145" s="1"/>
  <c r="J20" i="145" s="1"/>
  <c r="E19" i="145"/>
  <c r="B7298" i="106"/>
  <c r="B7299" i="106"/>
  <c r="B5719" i="106" l="1"/>
  <c r="D5719" i="106" s="1"/>
  <c r="B7051" i="106"/>
  <c r="D7051" i="106" s="1"/>
  <c r="B5507" i="106"/>
  <c r="D5507" i="106" s="1"/>
  <c r="D275" i="5"/>
  <c r="B5508" i="106" s="1"/>
  <c r="D5508" i="106" s="1"/>
  <c r="B1145" i="106"/>
  <c r="D1145" i="106" s="1"/>
  <c r="B5223" i="106"/>
  <c r="D5223" i="106" s="1"/>
  <c r="C6" i="4"/>
  <c r="B2553" i="106" s="1"/>
  <c r="D2553" i="106" s="1"/>
  <c r="F6" i="4"/>
  <c r="B2593" i="106" s="1"/>
  <c r="D2593" i="106" s="1"/>
  <c r="B5653" i="106"/>
  <c r="D5653" i="106" s="1"/>
  <c r="B2655" i="106"/>
  <c r="D2655" i="106" s="1"/>
  <c r="H8" i="4"/>
  <c r="F275" i="5"/>
  <c r="B5720" i="106" s="1"/>
  <c r="D5720" i="106" s="1"/>
  <c r="K313" i="29"/>
  <c r="B1561" i="106" s="1"/>
  <c r="D1561" i="106" s="1"/>
  <c r="K114" i="29"/>
  <c r="B1152" i="106" s="1"/>
  <c r="D1152" i="106" s="1"/>
  <c r="C15" i="4"/>
  <c r="B2559" i="106" s="1"/>
  <c r="D2559" i="106" s="1"/>
  <c r="B7019" i="106"/>
  <c r="D7019" i="106" s="1"/>
  <c r="C16" i="4"/>
  <c r="B2560" i="106" s="1"/>
  <c r="D2560" i="106" s="1"/>
  <c r="B5421" i="106"/>
  <c r="D5421" i="106" s="1"/>
  <c r="D6" i="4"/>
  <c r="B2566" i="106" s="1"/>
  <c r="D2566" i="106" s="1"/>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8" i="4" l="1"/>
  <c r="C8" i="146" s="1"/>
  <c r="F76" i="34"/>
  <c r="B2658" i="106"/>
  <c r="D2658" i="106" s="1"/>
  <c r="H10" i="4"/>
  <c r="B4127" i="106" s="1"/>
  <c r="D4127" i="106" s="1"/>
  <c r="F8" i="4"/>
  <c r="K152" i="29"/>
  <c r="B1289" i="106" s="1"/>
  <c r="D1289" i="106" s="1"/>
  <c r="F9" i="34"/>
  <c r="F8" i="34"/>
  <c r="B1388" i="106"/>
  <c r="D1388" i="106" s="1"/>
  <c r="K211" i="29"/>
  <c r="B1389" i="106" s="1"/>
  <c r="D1389" i="106" s="1"/>
  <c r="H19" i="4"/>
  <c r="B4141" i="106" s="1"/>
  <c r="D4141" i="106" s="1"/>
  <c r="B2661" i="106"/>
  <c r="D2661" i="106" s="1"/>
  <c r="H20" i="4"/>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H13" i="118" l="1"/>
  <c r="B2568" i="106"/>
  <c r="D2568" i="106" s="1"/>
  <c r="D10" i="4"/>
  <c r="B4123" i="106" s="1"/>
  <c r="D4123" i="106" s="1"/>
  <c r="D20" i="4"/>
  <c r="B2574" i="106" s="1"/>
  <c r="D2574" i="106" s="1"/>
  <c r="F10" i="4"/>
  <c r="B4125" i="106" s="1"/>
  <c r="D4125" i="106" s="1"/>
  <c r="D8" i="146"/>
  <c r="F8" i="146" s="1"/>
  <c r="B2595" i="106"/>
  <c r="D2595" i="106"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H78" i="4"/>
  <c r="B2662" i="106"/>
  <c r="D2662" i="106" s="1"/>
  <c r="B3227" i="106"/>
  <c r="D3227" i="106" s="1"/>
  <c r="D9" i="146"/>
  <c r="F19" i="4"/>
  <c r="B4139" i="106" s="1"/>
  <c r="D4139" i="106" s="1"/>
  <c r="B2600" i="106"/>
  <c r="D2600" i="106" s="1"/>
  <c r="F20" i="4"/>
  <c r="B2573" i="106"/>
  <c r="D2573" i="106" s="1"/>
  <c r="D19" i="4"/>
  <c r="B4137" i="106" s="1"/>
  <c r="D4137" i="106" s="1"/>
  <c r="C9" i="146"/>
  <c r="C10" i="146" s="1"/>
  <c r="D10" i="146" l="1"/>
  <c r="D78" i="4"/>
  <c r="B3239" i="106" s="1"/>
  <c r="D3239" i="106" s="1"/>
  <c r="F78" i="4"/>
  <c r="B2601" i="106"/>
  <c r="D2601" i="106" s="1"/>
  <c r="K17" i="118"/>
  <c r="B3300" i="106"/>
  <c r="D3300" i="106" s="1"/>
  <c r="A7262" i="106"/>
  <c r="D7261" i="106"/>
  <c r="H16" i="37"/>
  <c r="G78" i="4"/>
  <c r="B2613" i="106"/>
  <c r="D2613" i="106" s="1"/>
  <c r="B2562" i="106"/>
  <c r="D2562" i="106" s="1"/>
  <c r="C78" i="4"/>
  <c r="B10" i="146"/>
  <c r="F9" i="146"/>
  <c r="F10" i="146" s="1"/>
  <c r="E78" i="4"/>
  <c r="B2636" i="106"/>
  <c r="D2636" i="106" s="1"/>
  <c r="B3278" i="106" l="1"/>
  <c r="D3278" i="106" s="1"/>
  <c r="B3233" i="106"/>
  <c r="D3233" i="106" s="1"/>
  <c r="A7263" i="106"/>
  <c r="D7262" i="106"/>
  <c r="O16" i="118"/>
  <c r="B3256" i="106"/>
  <c r="D3256" i="106" s="1"/>
  <c r="B3262" i="106"/>
  <c r="D3262" i="106" s="1"/>
  <c r="A7264" i="106" l="1"/>
  <c r="D7263" i="106"/>
  <c r="A7265" i="106" l="1"/>
  <c r="D7264" i="106"/>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D7636" i="106"/>
  <c r="A7638" i="106" l="1"/>
  <c r="D7637" i="106"/>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659" i="106" l="1"/>
  <c r="D1659" i="106" s="1"/>
  <c r="F81" i="4"/>
  <c r="B2563" i="106"/>
  <c r="D2563" i="106" s="1"/>
  <c r="D11" i="146" l="1"/>
  <c r="F82" i="4"/>
  <c r="B1672" i="106"/>
  <c r="D1672" i="106" s="1"/>
  <c r="B1617" i="106"/>
  <c r="D1617" i="106" s="1"/>
  <c r="C81" i="4"/>
  <c r="B6270" i="106" l="1"/>
  <c r="D6270" i="106" s="1"/>
  <c r="F83" i="4"/>
  <c r="B6279" i="106" s="1"/>
  <c r="D6279" i="106" s="1"/>
  <c r="B11" i="146"/>
  <c r="C82" i="4"/>
  <c r="B1630" i="106"/>
  <c r="D1630" i="106" s="1"/>
  <c r="C83" i="4" l="1"/>
  <c r="B6276" i="106" s="1"/>
  <c r="D6276" i="106" s="1"/>
  <c r="B6267" i="106"/>
  <c r="D6267" i="106" s="1"/>
  <c r="B170" i="106" l="1"/>
  <c r="D170" i="106" s="1"/>
  <c r="F41" i="3"/>
  <c r="D60" i="36"/>
  <c r="B92" i="106"/>
  <c r="D92" i="106" s="1"/>
  <c r="C41" i="3"/>
  <c r="D57" i="36"/>
  <c r="D47" i="36" l="1"/>
  <c r="B171" i="106"/>
  <c r="D171" i="106" s="1"/>
  <c r="B93" i="106"/>
  <c r="D93" i="106" s="1"/>
  <c r="D44" i="36"/>
  <c r="B6107" i="106" l="1"/>
  <c r="D6107" i="106" s="1"/>
  <c r="B6106" i="106"/>
  <c r="D6106" i="106" s="1"/>
  <c r="B3590" i="106"/>
  <c r="D3590" i="106" s="1"/>
  <c r="B6327" i="106"/>
  <c r="D6327" i="106" s="1"/>
  <c r="B6328" i="106"/>
  <c r="D6328" i="106" s="1"/>
  <c r="B6329" i="106"/>
  <c r="D6329" i="106" s="1"/>
  <c r="B5997" i="106"/>
  <c r="D5997" i="106" s="1"/>
  <c r="B6337" i="106"/>
  <c r="D6337" i="106" s="1"/>
  <c r="B6338" i="106"/>
  <c r="D6338" i="106" s="1"/>
  <c r="B6347" i="106"/>
  <c r="D6347" i="106" s="1"/>
  <c r="B6348" i="106"/>
  <c r="D6348" i="106" s="1"/>
  <c r="B7638" i="106"/>
  <c r="D7638" i="106" s="1"/>
  <c r="B7639" i="106"/>
  <c r="D7639" i="106" s="1"/>
  <c r="B6350" i="106"/>
  <c r="D6350" i="106" s="1"/>
  <c r="B5998" i="106"/>
  <c r="D5998"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6177" i="106"/>
  <c r="D6177"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L357" i="29"/>
  <c r="B6218" i="106"/>
  <c r="D6218" i="106" s="1"/>
  <c r="B3550" i="106"/>
  <c r="D3550" i="106" s="1"/>
  <c r="B7125" i="106" l="1"/>
  <c r="D7125" i="106" s="1"/>
  <c r="J330" i="29"/>
  <c r="B6353" i="106"/>
  <c r="D6353" i="106" s="1"/>
  <c r="J121" i="5"/>
  <c r="H330" i="29"/>
  <c r="B7123" i="106"/>
  <c r="D7123" i="106" s="1"/>
  <c r="B6395" i="106"/>
  <c r="D6395" i="106" s="1"/>
  <c r="F125" i="34"/>
  <c r="F178" i="34" s="1"/>
  <c r="B6300" i="106"/>
  <c r="D6300" i="106" s="1"/>
  <c r="B6319" i="106"/>
  <c r="D6319" i="106" s="1"/>
  <c r="J108" i="5"/>
  <c r="B6351" i="106" s="1"/>
  <c r="D6351" i="106" s="1"/>
  <c r="G330" i="29"/>
  <c r="B7122" i="106"/>
  <c r="D7122" i="106" s="1"/>
  <c r="B7121" i="106"/>
  <c r="D7121" i="106" s="1"/>
  <c r="F330" i="29"/>
  <c r="J172" i="5"/>
  <c r="B6396" i="106" s="1"/>
  <c r="D6396" i="106" s="1"/>
  <c r="B6373" i="106"/>
  <c r="D6373" i="106" s="1"/>
  <c r="I330" i="29"/>
  <c r="B7124" i="106"/>
  <c r="D7124" i="106" s="1"/>
  <c r="B7120" i="106"/>
  <c r="D7120" i="106" s="1"/>
  <c r="E330" i="29"/>
  <c r="B7119" i="106"/>
  <c r="D7119" i="106" s="1"/>
  <c r="D330" i="29"/>
  <c r="J178" i="5"/>
  <c r="B6398" i="106"/>
  <c r="D6398" i="106" s="1"/>
  <c r="B6131" i="106"/>
  <c r="D6131" i="106" s="1"/>
  <c r="J34" i="3"/>
  <c r="B6191" i="106" s="1"/>
  <c r="D6191" i="106" s="1"/>
  <c r="K329" i="29"/>
  <c r="B7705" i="106" s="1"/>
  <c r="D7705" i="106" s="1"/>
  <c r="B7697" i="106"/>
  <c r="D7697" i="106" s="1"/>
  <c r="K328" i="29"/>
  <c r="B7696" i="106" s="1"/>
  <c r="D7696" i="106" s="1"/>
  <c r="B7688" i="106"/>
  <c r="D7688" i="106" s="1"/>
  <c r="B7190" i="106"/>
  <c r="D7190" i="106" s="1"/>
  <c r="K327" i="29"/>
  <c r="B7198" i="106" s="1"/>
  <c r="D7198" i="106" s="1"/>
  <c r="B7181" i="106"/>
  <c r="D7181" i="106" s="1"/>
  <c r="K326" i="29"/>
  <c r="B7189" i="106" s="1"/>
  <c r="D7189" i="106" s="1"/>
  <c r="B7172" i="106"/>
  <c r="D7172" i="106" s="1"/>
  <c r="K325" i="29"/>
  <c r="B7180" i="106" s="1"/>
  <c r="D7180" i="106" s="1"/>
  <c r="B7163" i="106"/>
  <c r="D7163" i="106" s="1"/>
  <c r="K324" i="29"/>
  <c r="B7171" i="106" s="1"/>
  <c r="D7171" i="106" s="1"/>
  <c r="B7154" i="106"/>
  <c r="D7154" i="106" s="1"/>
  <c r="K323" i="29"/>
  <c r="B7162" i="106" s="1"/>
  <c r="D7162" i="106" s="1"/>
  <c r="B7145" i="106"/>
  <c r="D7145" i="106" s="1"/>
  <c r="K322" i="29"/>
  <c r="B7153" i="106" s="1"/>
  <c r="D7153" i="106" s="1"/>
  <c r="B7136" i="106"/>
  <c r="D7136" i="106" s="1"/>
  <c r="K321" i="29"/>
  <c r="B7144" i="106" s="1"/>
  <c r="D7144" i="106" s="1"/>
  <c r="B7127" i="106"/>
  <c r="D7127" i="106" s="1"/>
  <c r="K320" i="29"/>
  <c r="B7135" i="106" s="1"/>
  <c r="D7135" i="106" s="1"/>
  <c r="B7118" i="106"/>
  <c r="D7118" i="106" s="1"/>
  <c r="K319" i="29"/>
  <c r="C330" i="29"/>
  <c r="J18" i="5"/>
  <c r="B6306" i="106" s="1"/>
  <c r="D6306" i="106" s="1"/>
  <c r="B6302" i="106"/>
  <c r="D6302" i="106" s="1"/>
  <c r="B6296" i="106"/>
  <c r="D6296" i="106" s="1"/>
  <c r="D73" i="36"/>
  <c r="B7240" i="106"/>
  <c r="D7240" i="106" s="1"/>
  <c r="K363" i="29"/>
  <c r="B7241" i="106" s="1"/>
  <c r="D7241" i="106" s="1"/>
  <c r="B3638" i="106"/>
  <c r="D3638" i="106" s="1"/>
  <c r="F350" i="29"/>
  <c r="B5988" i="106"/>
  <c r="D5988" i="106" s="1"/>
  <c r="K18" i="5"/>
  <c r="B5992" i="106" s="1"/>
  <c r="D5992" i="106" s="1"/>
  <c r="B6132" i="106"/>
  <c r="D6132" i="106" s="1"/>
  <c r="K361" i="29"/>
  <c r="B7239" i="106" s="1"/>
  <c r="D7239" i="106" s="1"/>
  <c r="B7238" i="106"/>
  <c r="D7238" i="106" s="1"/>
  <c r="B3631" i="106"/>
  <c r="D3631" i="106" s="1"/>
  <c r="E350" i="29"/>
  <c r="B6000" i="106"/>
  <c r="D6000" i="106" s="1"/>
  <c r="K121" i="5"/>
  <c r="K108" i="5"/>
  <c r="B5999" i="106" s="1"/>
  <c r="D5999" i="106" s="1"/>
  <c r="B5996" i="106"/>
  <c r="D5996" i="106" s="1"/>
  <c r="B3546" i="106"/>
  <c r="D3546" i="106" s="1"/>
  <c r="D42" i="36"/>
  <c r="K13" i="3"/>
  <c r="B3552" i="106" s="1"/>
  <c r="D3552" i="106" s="1"/>
  <c r="H362" i="29"/>
  <c r="B3657" i="106"/>
  <c r="D3657" i="106" s="1"/>
  <c r="K360" i="29"/>
  <c r="D350" i="29"/>
  <c r="B3624" i="106"/>
  <c r="D3624" i="106" s="1"/>
  <c r="K356" i="29"/>
  <c r="K357" i="29" s="1"/>
  <c r="K15" i="4" s="1"/>
  <c r="B3573" i="106" s="1"/>
  <c r="D3573" i="106" s="1"/>
  <c r="H357" i="29"/>
  <c r="K351" i="29"/>
  <c r="B3671" i="106" s="1"/>
  <c r="D3671" i="106" s="1"/>
  <c r="B3620" i="106"/>
  <c r="D3620" i="106" s="1"/>
  <c r="B3618" i="106"/>
  <c r="D3618" i="106" s="1"/>
  <c r="K349" i="29"/>
  <c r="B3669" i="106" s="1"/>
  <c r="D3669" i="106" s="1"/>
  <c r="B3617" i="106"/>
  <c r="D3617" i="106" s="1"/>
  <c r="K348" i="29"/>
  <c r="C350" i="29"/>
  <c r="B5986" i="106"/>
  <c r="D5986" i="106" s="1"/>
  <c r="K364" i="29"/>
  <c r="B7746" i="106" s="1"/>
  <c r="D7746" i="106" s="1"/>
  <c r="B7745" i="106"/>
  <c r="D7745" i="106" s="1"/>
  <c r="B6257" i="106"/>
  <c r="D6257" i="106" s="1"/>
  <c r="K76" i="4"/>
  <c r="B3586" i="106" s="1"/>
  <c r="D3586" i="106" s="1"/>
  <c r="B3579" i="106"/>
  <c r="D3579" i="106" s="1"/>
  <c r="D68" i="36"/>
  <c r="J350" i="29"/>
  <c r="B7227" i="106"/>
  <c r="D7227" i="106" s="1"/>
  <c r="B4868" i="106"/>
  <c r="D4868" i="106" s="1"/>
  <c r="K273" i="5"/>
  <c r="B4442" i="106" s="1"/>
  <c r="D4442" i="106" s="1"/>
  <c r="B5993" i="106"/>
  <c r="D5993" i="106" s="1"/>
  <c r="D72" i="36"/>
  <c r="B3578" i="106"/>
  <c r="D3578" i="106" s="1"/>
  <c r="I350" i="29"/>
  <c r="B7226" i="106"/>
  <c r="D7226" i="106" s="1"/>
  <c r="K184" i="5"/>
  <c r="B6016" i="106" s="1"/>
  <c r="D6016" i="106" s="1"/>
  <c r="B4816" i="106"/>
  <c r="D4816" i="106" s="1"/>
  <c r="B6374" i="106"/>
  <c r="D6374" i="106" s="1"/>
  <c r="K172" i="5"/>
  <c r="B5000" i="106" s="1"/>
  <c r="D5000" i="106" s="1"/>
  <c r="I48" i="4"/>
  <c r="B2106" i="106" s="1"/>
  <c r="D2106" i="106" s="1"/>
  <c r="B3577" i="106"/>
  <c r="D3577" i="106" s="1"/>
  <c r="B3652" i="106"/>
  <c r="D3652" i="106" s="1"/>
  <c r="H350" i="29"/>
  <c r="L362" i="29"/>
  <c r="L365" i="29" s="1"/>
  <c r="K44" i="4"/>
  <c r="B7755" i="106"/>
  <c r="D7755" i="106" s="1"/>
  <c r="I47" i="4"/>
  <c r="G350" i="29"/>
  <c r="B3645" i="106"/>
  <c r="D3645" i="106" s="1"/>
  <c r="K178" i="5"/>
  <c r="B4368" i="106"/>
  <c r="D4368" i="106" s="1"/>
  <c r="B6150" i="106"/>
  <c r="D6150" i="106" s="1"/>
  <c r="B3562" i="106"/>
  <c r="D3562" i="106" s="1"/>
  <c r="B18" i="7" l="1"/>
  <c r="J13" i="3"/>
  <c r="B6124" i="106" s="1"/>
  <c r="D6124" i="106" s="1"/>
  <c r="D41" i="36"/>
  <c r="B6217" i="106"/>
  <c r="D6217" i="106" s="1"/>
  <c r="B7201" i="106"/>
  <c r="D7201" i="106" s="1"/>
  <c r="E342" i="29"/>
  <c r="B7218" i="106" s="1"/>
  <c r="D7218" i="106" s="1"/>
  <c r="B6357" i="106"/>
  <c r="D6357" i="106" s="1"/>
  <c r="J173" i="5"/>
  <c r="B6400" i="106"/>
  <c r="D6400" i="106" s="1"/>
  <c r="J274" i="5"/>
  <c r="B7202" i="106"/>
  <c r="D7202" i="106" s="1"/>
  <c r="F342" i="29"/>
  <c r="B7219" i="106" s="1"/>
  <c r="D7219" i="106" s="1"/>
  <c r="B7206" i="106"/>
  <c r="D7206" i="106" s="1"/>
  <c r="J342" i="29"/>
  <c r="B7223" i="106" s="1"/>
  <c r="D7223" i="106" s="1"/>
  <c r="B6316" i="106"/>
  <c r="D6316" i="106" s="1"/>
  <c r="B7200" i="106"/>
  <c r="D7200" i="106" s="1"/>
  <c r="D342" i="29"/>
  <c r="B7217" i="106" s="1"/>
  <c r="D7217" i="106" s="1"/>
  <c r="B7204" i="106"/>
  <c r="D7204" i="106" s="1"/>
  <c r="H342" i="29"/>
  <c r="B7221" i="106" s="1"/>
  <c r="D7221" i="106" s="1"/>
  <c r="L330" i="29"/>
  <c r="L342" i="29" s="1"/>
  <c r="B6317" i="106"/>
  <c r="D6317" i="106" s="1"/>
  <c r="B7199" i="106"/>
  <c r="D7199" i="106" s="1"/>
  <c r="C342" i="29"/>
  <c r="B7216" i="106" s="1"/>
  <c r="D7216" i="106" s="1"/>
  <c r="B7126" i="106"/>
  <c r="D7126" i="106" s="1"/>
  <c r="K330" i="29"/>
  <c r="J12" i="5"/>
  <c r="B6298" i="106"/>
  <c r="D6298" i="106" s="1"/>
  <c r="B11" i="7"/>
  <c r="B7205" i="106"/>
  <c r="D7205" i="106" s="1"/>
  <c r="I342" i="29"/>
  <c r="B7222" i="106" s="1"/>
  <c r="D7222" i="106" s="1"/>
  <c r="B7203" i="106"/>
  <c r="D7203" i="106" s="1"/>
  <c r="G342" i="29"/>
  <c r="B7220" i="106" s="1"/>
  <c r="D7220" i="106" s="1"/>
  <c r="B1673" i="106"/>
  <c r="D1673" i="106" s="1"/>
  <c r="G81" i="4"/>
  <c r="B1631" i="106"/>
  <c r="D1631" i="106" s="1"/>
  <c r="D81" i="4"/>
  <c r="B3654" i="106"/>
  <c r="D3654" i="106" s="1"/>
  <c r="H352" i="29"/>
  <c r="B3675" i="106"/>
  <c r="D3675" i="106" s="1"/>
  <c r="K362" i="29"/>
  <c r="B6006" i="106"/>
  <c r="D6006" i="106" s="1"/>
  <c r="K173" i="5"/>
  <c r="B3584" i="106"/>
  <c r="D3584" i="106" s="1"/>
  <c r="K77" i="4"/>
  <c r="B3587" i="106" s="1"/>
  <c r="D3587" i="106" s="1"/>
  <c r="B3658" i="106"/>
  <c r="D3658" i="106" s="1"/>
  <c r="H365" i="29"/>
  <c r="B7242" i="106" s="1"/>
  <c r="D7242" i="106" s="1"/>
  <c r="B3633" i="106"/>
  <c r="D3633" i="106" s="1"/>
  <c r="E352" i="29"/>
  <c r="B3640" i="106"/>
  <c r="D3640" i="106" s="1"/>
  <c r="F352" i="29"/>
  <c r="I352" i="29"/>
  <c r="B7230" i="106"/>
  <c r="D7230" i="106" s="1"/>
  <c r="B7231" i="106"/>
  <c r="D7231" i="106" s="1"/>
  <c r="J352" i="29"/>
  <c r="B4103" i="106"/>
  <c r="D4103" i="106" s="1"/>
  <c r="D18" i="7"/>
  <c r="B4105" i="106" s="1"/>
  <c r="D4105" i="106" s="1"/>
  <c r="B4951" i="106"/>
  <c r="D4951" i="106" s="1"/>
  <c r="K274" i="5"/>
  <c r="L350" i="29"/>
  <c r="L352" i="29" s="1"/>
  <c r="L367" i="29" s="1"/>
  <c r="B3619" i="106"/>
  <c r="D3619" i="106" s="1"/>
  <c r="C352" i="29"/>
  <c r="G352" i="29"/>
  <c r="B3647" i="106"/>
  <c r="D3647" i="106" s="1"/>
  <c r="B3668" i="106"/>
  <c r="D3668" i="106" s="1"/>
  <c r="K350" i="29"/>
  <c r="B2105" i="106"/>
  <c r="D2105" i="106" s="1"/>
  <c r="I76" i="4"/>
  <c r="K12" i="5"/>
  <c r="B12" i="7"/>
  <c r="B5985" i="106"/>
  <c r="D5985" i="106" s="1"/>
  <c r="B3626" i="106"/>
  <c r="D3626" i="106" s="1"/>
  <c r="D352" i="29"/>
  <c r="K34" i="3"/>
  <c r="B3565" i="106" s="1"/>
  <c r="D3565" i="106" s="1"/>
  <c r="B1645" i="106"/>
  <c r="D1645" i="106" s="1"/>
  <c r="E81" i="4"/>
  <c r="B3589" i="106"/>
  <c r="D3589" i="106" s="1"/>
  <c r="B6264" i="106"/>
  <c r="D6264" i="106" s="1"/>
  <c r="B3321" i="106"/>
  <c r="D3321" i="106" s="1"/>
  <c r="B1687" i="106"/>
  <c r="D1687" i="106" s="1"/>
  <c r="H81" i="4"/>
  <c r="B6301" i="106" l="1"/>
  <c r="D6301" i="106" s="1"/>
  <c r="K342" i="29"/>
  <c r="B7207" i="106"/>
  <c r="D7207" i="106" s="1"/>
  <c r="J13" i="4"/>
  <c r="E23" i="108"/>
  <c r="E41" i="108" s="1"/>
  <c r="E44" i="108" s="1"/>
  <c r="E45" i="108" s="1"/>
  <c r="G23" i="108"/>
  <c r="G41" i="108" s="1"/>
  <c r="G44" i="108" s="1"/>
  <c r="G45" i="108" s="1"/>
  <c r="B7054" i="106"/>
  <c r="D7054" i="106" s="1"/>
  <c r="J7" i="4"/>
  <c r="B6222" i="106" s="1"/>
  <c r="D6222" i="106" s="1"/>
  <c r="J67" i="5"/>
  <c r="B6318" i="106" s="1"/>
  <c r="D6318" i="106" s="1"/>
  <c r="B6397" i="106"/>
  <c r="D6397" i="106" s="1"/>
  <c r="J6" i="4"/>
  <c r="B6221" i="106" s="1"/>
  <c r="D6221" i="106" s="1"/>
  <c r="B1752" i="106"/>
  <c r="D1752" i="106" s="1"/>
  <c r="D11" i="7"/>
  <c r="B1768" i="106" s="1"/>
  <c r="D1768" i="106" s="1"/>
  <c r="G82" i="4"/>
  <c r="B1686" i="106"/>
  <c r="D1686" i="106" s="1"/>
  <c r="B1644" i="106"/>
  <c r="D1644" i="106" s="1"/>
  <c r="C11" i="146"/>
  <c r="D82" i="4"/>
  <c r="B5987" i="106"/>
  <c r="D5987" i="106" s="1"/>
  <c r="B3649" i="106"/>
  <c r="D3649" i="106" s="1"/>
  <c r="G367" i="29"/>
  <c r="B3650" i="106" s="1"/>
  <c r="D3650" i="106" s="1"/>
  <c r="B3318" i="106"/>
  <c r="D3318" i="106" s="1"/>
  <c r="I77" i="4"/>
  <c r="F367" i="29"/>
  <c r="B3643" i="106" s="1"/>
  <c r="D3643" i="106" s="1"/>
  <c r="B3642" i="106"/>
  <c r="D3642" i="106" s="1"/>
  <c r="K6" i="4"/>
  <c r="B3570" i="106" s="1"/>
  <c r="D3570" i="106" s="1"/>
  <c r="B6014" i="106"/>
  <c r="D6014" i="106" s="1"/>
  <c r="B3621" i="106"/>
  <c r="D3621" i="106" s="1"/>
  <c r="C367" i="29"/>
  <c r="B3622" i="106" s="1"/>
  <c r="D3622" i="106" s="1"/>
  <c r="J367" i="29"/>
  <c r="B7245" i="106" s="1"/>
  <c r="D7245" i="106" s="1"/>
  <c r="B7235" i="106"/>
  <c r="D7235" i="106" s="1"/>
  <c r="E367" i="29"/>
  <c r="B3636" i="106" s="1"/>
  <c r="D3636" i="106" s="1"/>
  <c r="B3635" i="106"/>
  <c r="D3635" i="106" s="1"/>
  <c r="B3676" i="106"/>
  <c r="D3676" i="106" s="1"/>
  <c r="K365" i="29"/>
  <c r="D367" i="29"/>
  <c r="B3629" i="106" s="1"/>
  <c r="D3629" i="106" s="1"/>
  <c r="B3628" i="106"/>
  <c r="D3628" i="106" s="1"/>
  <c r="B3670" i="106"/>
  <c r="D3670" i="106" s="1"/>
  <c r="K352" i="29"/>
  <c r="B3656" i="106"/>
  <c r="D3656" i="106" s="1"/>
  <c r="H367" i="29"/>
  <c r="B3660" i="106" s="1"/>
  <c r="D3660" i="106" s="1"/>
  <c r="B6022" i="106"/>
  <c r="D6022" i="106" s="1"/>
  <c r="K7" i="4"/>
  <c r="I367" i="29"/>
  <c r="B7234" i="106"/>
  <c r="D7234" i="106" s="1"/>
  <c r="B1753" i="106"/>
  <c r="D1753" i="106" s="1"/>
  <c r="B19" i="7"/>
  <c r="B1759" i="106" s="1"/>
  <c r="D1759" i="106" s="1"/>
  <c r="D12" i="7"/>
  <c r="B5994" i="106"/>
  <c r="D5994" i="106" s="1"/>
  <c r="K67" i="5"/>
  <c r="B5995" i="106" s="1"/>
  <c r="D5995" i="106" s="1"/>
  <c r="B1658" i="106"/>
  <c r="D1658" i="106" s="1"/>
  <c r="E82" i="4"/>
  <c r="B1700" i="106"/>
  <c r="D1700" i="106" s="1"/>
  <c r="H82" i="4"/>
  <c r="B7042" i="106" l="1"/>
  <c r="D7042" i="106" s="1"/>
  <c r="J17" i="4"/>
  <c r="F13" i="34"/>
  <c r="F14" i="34" s="1"/>
  <c r="F77" i="34" s="1"/>
  <c r="F179" i="34" s="1"/>
  <c r="B7224" i="106"/>
  <c r="D7224" i="106" s="1"/>
  <c r="J109" i="5"/>
  <c r="B6271" i="106"/>
  <c r="D6271" i="106" s="1"/>
  <c r="G83" i="4"/>
  <c r="B6280" i="106" s="1"/>
  <c r="D6280" i="106" s="1"/>
  <c r="B6268" i="106"/>
  <c r="D6268" i="106" s="1"/>
  <c r="D83" i="4"/>
  <c r="B6277" i="106" s="1"/>
  <c r="D6277" i="106" s="1"/>
  <c r="B1769" i="106"/>
  <c r="D1769" i="106" s="1"/>
  <c r="D19" i="7"/>
  <c r="B1775" i="106" s="1"/>
  <c r="D1775" i="106" s="1"/>
  <c r="K13" i="4"/>
  <c r="K367" i="29"/>
  <c r="B3678" i="106" s="1"/>
  <c r="D3678" i="106" s="1"/>
  <c r="B3672" i="106"/>
  <c r="D3672" i="106" s="1"/>
  <c r="B3319" i="106"/>
  <c r="D3319" i="106" s="1"/>
  <c r="I78" i="4"/>
  <c r="B7244" i="106"/>
  <c r="D7244" i="106" s="1"/>
  <c r="F17" i="11"/>
  <c r="B3718" i="106"/>
  <c r="D3718" i="106" s="1"/>
  <c r="D10" i="171"/>
  <c r="D19" i="171" s="1"/>
  <c r="D32" i="171" s="1"/>
  <c r="D49" i="171" s="1"/>
  <c r="K16" i="4"/>
  <c r="B3574" i="106" s="1"/>
  <c r="D3574" i="106" s="1"/>
  <c r="B7243" i="106"/>
  <c r="D7243" i="106" s="1"/>
  <c r="K109" i="5"/>
  <c r="B6269" i="106"/>
  <c r="D6269" i="106" s="1"/>
  <c r="E83" i="4"/>
  <c r="B6278" i="106" s="1"/>
  <c r="D6278" i="106" s="1"/>
  <c r="H83" i="4"/>
  <c r="B6281" i="106" s="1"/>
  <c r="D6281" i="106" s="1"/>
  <c r="B6272" i="106"/>
  <c r="D6272" i="106" s="1"/>
  <c r="J275" i="5" l="1"/>
  <c r="J4" i="4"/>
  <c r="B6352" i="106"/>
  <c r="D6352" i="106" s="1"/>
  <c r="J19" i="4"/>
  <c r="B6229" i="106" s="1"/>
  <c r="D6229" i="106" s="1"/>
  <c r="B6227" i="106"/>
  <c r="D6227" i="106" s="1"/>
  <c r="B3320" i="106"/>
  <c r="D3320" i="106" s="1"/>
  <c r="I81" i="4"/>
  <c r="D63" i="36" s="1"/>
  <c r="K4" i="4"/>
  <c r="B6028" i="106"/>
  <c r="D6028" i="106" s="1"/>
  <c r="K275" i="5"/>
  <c r="B3572" i="106"/>
  <c r="D3572" i="106" s="1"/>
  <c r="K17" i="4"/>
  <c r="I17" i="11"/>
  <c r="B7624" i="106"/>
  <c r="D7624" i="106" s="1"/>
  <c r="B6215" i="106"/>
  <c r="D6215" i="106" s="1"/>
  <c r="J41" i="3"/>
  <c r="B140" i="106"/>
  <c r="D140" i="106" s="1"/>
  <c r="E41" i="3"/>
  <c r="D59" i="36"/>
  <c r="B2912" i="106"/>
  <c r="D2912" i="106" s="1"/>
  <c r="I41" i="3"/>
  <c r="B6220" i="106" l="1"/>
  <c r="D6220" i="106" s="1"/>
  <c r="J8" i="4"/>
  <c r="K343" i="29"/>
  <c r="B7225" i="106" s="1"/>
  <c r="D7225" i="106" s="1"/>
  <c r="B7055" i="106"/>
  <c r="D7055" i="106" s="1"/>
  <c r="G41" i="3"/>
  <c r="D61" i="36"/>
  <c r="B189" i="106"/>
  <c r="D189" i="106" s="1"/>
  <c r="B7625" i="106"/>
  <c r="D7625" i="106" s="1"/>
  <c r="I18" i="11"/>
  <c r="K19" i="4"/>
  <c r="B4144" i="106" s="1"/>
  <c r="D4144" i="106" s="1"/>
  <c r="B3575" i="106"/>
  <c r="D3575" i="106" s="1"/>
  <c r="B6023" i="106"/>
  <c r="D6023" i="106" s="1"/>
  <c r="K368" i="29"/>
  <c r="B3681" i="106" s="1"/>
  <c r="D3681" i="106" s="1"/>
  <c r="B3569" i="106"/>
  <c r="D3569" i="106" s="1"/>
  <c r="K8" i="4"/>
  <c r="J16" i="37"/>
  <c r="B4269" i="106" s="1"/>
  <c r="D4269" i="106" s="1"/>
  <c r="I82" i="4"/>
  <c r="E11" i="146"/>
  <c r="F11" i="146" s="1"/>
  <c r="B3323" i="106"/>
  <c r="D3323" i="106" s="1"/>
  <c r="B6216" i="106"/>
  <c r="D6216" i="106" s="1"/>
  <c r="D51" i="36"/>
  <c r="B141" i="106"/>
  <c r="D141" i="106" s="1"/>
  <c r="D46" i="36"/>
  <c r="D50" i="36"/>
  <c r="B2913" i="106"/>
  <c r="D2913" i="106" s="1"/>
  <c r="J20" i="4" l="1"/>
  <c r="J10" i="4"/>
  <c r="B6225" i="106" s="1"/>
  <c r="D6225" i="106" s="1"/>
  <c r="B6223" i="106"/>
  <c r="D6223" i="106" s="1"/>
  <c r="B190" i="106"/>
  <c r="D190" i="106" s="1"/>
  <c r="D48" i="36"/>
  <c r="B282" i="106"/>
  <c r="D282" i="106" s="1"/>
  <c r="N23" i="3"/>
  <c r="B123" i="106"/>
  <c r="D123" i="106" s="1"/>
  <c r="D58" i="36"/>
  <c r="D41" i="3"/>
  <c r="K10" i="4"/>
  <c r="B4130" i="106" s="1"/>
  <c r="D4130" i="106" s="1"/>
  <c r="B3571" i="106"/>
  <c r="D3571" i="106" s="1"/>
  <c r="K20" i="4"/>
  <c r="C12" i="146"/>
  <c r="D29" i="36"/>
  <c r="I83" i="4"/>
  <c r="B6282" i="106" s="1"/>
  <c r="D6282" i="106" s="1"/>
  <c r="B6273" i="106"/>
  <c r="D6273" i="106" s="1"/>
  <c r="B7631" i="106"/>
  <c r="D7631" i="106" s="1"/>
  <c r="F180" i="34"/>
  <c r="F181" i="34" s="1"/>
  <c r="F183" i="34" s="1"/>
  <c r="B3567" i="106"/>
  <c r="D3567" i="106" s="1"/>
  <c r="K41" i="3"/>
  <c r="B212" i="106"/>
  <c r="D212" i="106" s="1"/>
  <c r="H41" i="3"/>
  <c r="D62" i="36"/>
  <c r="D76" i="36"/>
  <c r="B6230" i="106" l="1"/>
  <c r="D6230" i="106" s="1"/>
  <c r="J78" i="4"/>
  <c r="B284" i="106"/>
  <c r="D284" i="106" s="1"/>
  <c r="D55" i="36"/>
  <c r="B124" i="106"/>
  <c r="D124" i="106" s="1"/>
  <c r="D45" i="36"/>
  <c r="B3576" i="106"/>
  <c r="D3576" i="106" s="1"/>
  <c r="K78" i="4"/>
  <c r="B3568" i="106"/>
  <c r="D3568" i="106" s="1"/>
  <c r="D52" i="36"/>
  <c r="B213" i="106"/>
  <c r="D213" i="106" s="1"/>
  <c r="D49" i="36"/>
  <c r="B6263" i="106" l="1"/>
  <c r="D6263" i="106" s="1"/>
  <c r="J81" i="4"/>
  <c r="B3588" i="106"/>
  <c r="D3588" i="106" s="1"/>
  <c r="K81" i="4"/>
  <c r="B6266" i="106" l="1"/>
  <c r="D6266" i="106" s="1"/>
  <c r="J82" i="4"/>
  <c r="D64" i="36"/>
  <c r="H12" i="118"/>
  <c r="K12" i="118" s="1"/>
  <c r="K82" i="4"/>
  <c r="B3591" i="106"/>
  <c r="D3591" i="106" s="1"/>
  <c r="D65" i="36"/>
  <c r="O11" i="118" l="1"/>
  <c r="O13" i="118" s="1"/>
  <c r="J20" i="118"/>
  <c r="B6274" i="106"/>
  <c r="D6274" i="106" s="1"/>
  <c r="J83" i="4"/>
  <c r="B6283" i="106" s="1"/>
  <c r="D6283" i="106" s="1"/>
  <c r="K83" i="4"/>
  <c r="B6284" i="106" s="1"/>
  <c r="D6284" i="106" s="1"/>
  <c r="B6275" i="106"/>
  <c r="D6275" i="106" s="1"/>
  <c r="O17" i="118" l="1"/>
  <c r="O20" i="118" s="1"/>
  <c r="O35" i="118" s="1"/>
  <c r="O37" i="118" s="1"/>
  <c r="K20" i="118"/>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<sst xmlns="http://schemas.openxmlformats.org/spreadsheetml/2006/main" count="5170" uniqueCount="2184">
  <si>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</si>
  <si>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</si>
  <si>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</si>
  <si>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</si>
  <si>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</si>
  <si>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</si>
  <si>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</si>
  <si>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</si>
  <si>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</si>
  <si>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</si>
  <si>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</si>
  <si>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</si>
  <si>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</si>
  <si>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</si>
  <si>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</si>
  <si>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</si>
  <si>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</si>
  <si>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</si>
  <si>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</si>
  <si>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</si>
  <si>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</si>
  <si>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</si>
  <si>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</si>
  <si>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</si>
  <si>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</si>
  <si>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</si>
  <si>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</si>
  <si>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</si>
  <si>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</si>
  <si>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</si>
  <si>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</si>
  <si>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</si>
  <si>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</si>
  <si>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</si>
  <si>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</si>
  <si>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</si>
  <si>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</si>
  <si>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</si>
  <si>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</si>
  <si>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</si>
  <si>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</si>
  <si>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</si>
  <si>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</si>
  <si>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</si>
  <si>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</si>
  <si>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</si>
  <si>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</si>
  <si>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</si>
  <si>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</si>
  <si>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</si>
  <si>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</si>
  <si>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</si>
  <si>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</si>
  <si>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</si>
  <si>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</si>
  <si>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</si>
  <si>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</si>
  <si>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</si>
  <si>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</si>
  <si>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</si>
  <si>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</si>
  <si>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</si>
  <si>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</si>
  <si>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</si>
  <si>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</si>
  <si>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</si>
  <si>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</si>
  <si>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</si>
  <si>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</si>
  <si>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</si>
  <si>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</si>
  <si>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</si>
  <si>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</si>
  <si>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</si>
  <si>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</si>
  <si>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</si>
  <si>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</si>
  <si>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</si>
  <si>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</si>
  <si>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</si>
  <si>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</si>
  <si>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</si>
  <si>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</si>
  <si>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</si>
  <si>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</si>
  <si>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</si>
  <si>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</si>
  <si>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</si>
  <si>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</si>
  <si>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</si>
  <si>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</si>
  <si>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</si>
  <si>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</si>
  <si>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</si>
  <si>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</si>
  <si>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</si>
  <si>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</si>
  <si>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</si>
  <si>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</si>
  <si>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</si>
  <si>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</si>
  <si>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</si>
  <si>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</si>
  <si>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</si>
  <si>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</si>
  <si>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</si>
  <si>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</si>
  <si>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</si>
  <si>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</si>
  <si>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</si>
  <si>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</si>
  <si>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</si>
  <si>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</si>
  <si>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</si>
  <si>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</si>
  <si>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</si>
  <si>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</si>
  <si>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</si>
  <si>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</si>
  <si>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</si>
  <si>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</si>
  <si>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</si>
  <si>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</si>
  <si>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</si>
  <si>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</si>
  <si>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</si>
  <si>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</si>
  <si>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</si>
  <si>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</si>
  <si>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</si>
  <si>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</si>
  <si>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</si>
  <si>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</si>
  <si>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</si>
  <si>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</si>
  <si>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</si>
  <si>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</si>
  <si>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</si>
  <si>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</si>
  <si>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</si>
  <si>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</si>
  <si>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</si>
  <si>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</si>
  <si>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</si>
  <si>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</si>
  <si>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</si>
  <si>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</si>
  <si>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</si>
  <si>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</si>
  <si>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</si>
  <si>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</si>
  <si>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</si>
  <si>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</si>
  <si>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</si>
  <si>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</si>
  <si>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</si>
  <si>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</si>
  <si>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</si>
  <si>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</si>
  <si>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</si>
  <si>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</si>
  <si>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</si>
  <si>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</si>
  <si>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</si>
  <si>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</si>
  <si>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</si>
  <si>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</si>
  <si>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</si>
  <si>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</si>
  <si>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</si>
  <si>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</si>
  <si>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</si>
  <si>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</si>
  <si>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</si>
  <si>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</si>
  <si>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</si>
  <si>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</si>
  <si>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</si>
  <si>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</si>
  <si>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</si>
  <si>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</si>
  <si>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</si>
  <si>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</si>
  <si>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</si>
  <si>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</si>
  <si>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</si>
  <si>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</si>
  <si>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</si>
  <si>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</si>
  <si>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</si>
  <si>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</si>
  <si>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</si>
  <si>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</si>
  <si>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</si>
  <si>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</si>
  <si>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</si>
  <si>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</si>
  <si>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</si>
  <si>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</si>
  <si>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</si>
  <si>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</si>
  <si>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</si>
  <si>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</si>
  <si>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</si>
  <si>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</si>
  <si>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</si>
  <si>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</si>
  <si>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</si>
  <si>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</si>
  <si>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</si>
  <si>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</si>
  <si>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</si>
  <si>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</si>
  <si>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</si>
  <si>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</si>
  <si>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</si>
  <si>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</si>
  <si>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</si>
  <si>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</si>
  <si>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</si>
  <si>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</si>
  <si>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</si>
  <si>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</si>
  <si>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</si>
  <si>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</si>
  <si>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</si>
  <si>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</si>
  <si>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</si>
  <si>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</si>
  <si>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</si>
  <si>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</si>
  <si>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</si>
  <si>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</si>
  <si>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</si>
  <si>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</si>
  <si>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</si>
  <si>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</si>
  <si>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</si>
  <si>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</si>
  <si>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</si>
  <si>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</si>
  <si>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</si>
  <si>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</si>
  <si>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</si>
  <si>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</si>
  <si>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</si>
  <si>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</si>
  <si>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</si>
  <si>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</si>
  <si>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</si>
  <si>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</si>
  <si>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</si>
  <si>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</si>
  <si>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</si>
  <si>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</si>
  <si>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</si>
  <si>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</si>
  <si>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</si>
  <si>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</si>
  <si>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</si>
  <si>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</si>
  <si>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</si>
  <si>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</si>
  <si>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</si>
  <si>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</si>
  <si>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</si>
  <si>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</si>
  <si>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</si>
  <si>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</si>
  <si>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</si>
  <si>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</si>
  <si>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</si>
  <si>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</si>
  <si>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</si>
  <si>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</si>
  <si>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</si>
  <si>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</si>
  <si>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</si>
  <si>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</si>
  <si>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</si>
  <si>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</si>
  <si>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</si>
  <si>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</si>
  <si>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</si>
  <si>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</si>
  <si>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</si>
  <si>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</si>
  <si>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</si>
  <si>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</si>
  <si>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</si>
  <si>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</si>
  <si>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</si>
  <si>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</si>
  <si>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</si>
  <si>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</si>
  <si>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</si>
  <si>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</si>
  <si>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</si>
  <si>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</si>
  <si>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</si>
  <si>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</si>
  <si>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</si>
  <si>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</si>
  <si>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</si>
  <si>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</si>
  <si>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</si>
  <si>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</si>
  <si>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</si>
  <si>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</si>
  <si>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</si>
  <si>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</si>
  <si>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</si>
  <si>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</si>
  <si>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</si>
  <si>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</si>
  <si>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</si>
  <si>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</si>
  <si>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</si>
  <si>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</si>
  <si>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</si>
  <si>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</si>
  <si>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</si>
  <si>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</si>
  <si>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</si>
  <si>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</si>
  <si>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</si>
  <si>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</si>
  <si>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</si>
  <si>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</si>
  <si>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</si>
  <si>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</si>
  <si>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</si>
  <si>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</si>
  <si>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</si>
  <si>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</si>
  <si>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</si>
  <si>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</si>
  <si>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</si>
  <si>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</si>
  <si>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</si>
  <si>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</si>
  <si>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</si>
  <si>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</si>
  <si>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</si>
  <si>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</si>
  <si>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</si>
  <si>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</si>
  <si>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</si>
  <si>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</si>
  <si>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</si>
  <si>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</si>
  <si>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</si>
  <si>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</si>
  <si>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</si>
  <si>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</si>
  <si>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</si>
  <si>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</si>
  <si>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</si>
  <si>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</si>
  <si>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</si>
  <si>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</si>
  <si>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</si>
  <si>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</si>
  <si>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</si>
  <si>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</si>
  <si>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</si>
  <si>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</si>
  <si>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</si>
  <si>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</si>
  <si>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</si>
  <si>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</si>
  <si>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</si>
  <si>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</si>
  <si>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</si>
  <si>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</si>
  <si>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</si>
  <si>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</si>
  <si>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</si>
  <si>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</si>
  <si>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</si>
  <si>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</si>
  <si>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</si>
  <si>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</si>
  <si>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</si>
  <si>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</si>
  <si>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</si>
  <si>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</si>
  <si>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</si>
  <si>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</si>
  <si>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</si>
  <si>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</si>
  <si>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</si>
  <si>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</si>
  <si>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</si>
  <si>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</si>
  <si>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</si>
  <si>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</si>
  <si>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</si>
  <si>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</si>
  <si>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</si>
  <si>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</si>
  <si>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</si>
  <si>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</si>
  <si>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</si>
  <si>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</si>
  <si>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</si>
  <si>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</si>
  <si>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</si>
  <si>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</si>
  <si>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</si>
  <si>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</si>
  <si>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</si>
  <si>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</si>
  <si>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</si>
  <si>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</si>
  <si>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</si>
  <si>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</si>
  <si>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</si>
  <si>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</si>
  <si>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</si>
  <si>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</si>
  <si>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</si>
  <si>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</si>
  <si>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</si>
  <si>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</si>
  <si>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</si>
  <si>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</si>
  <si>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</si>
  <si>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</si>
  <si>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</si>
  <si>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</si>
  <si>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</si>
  <si>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</si>
  <si>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</si>
  <si>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</si>
  <si>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</si>
  <si>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</si>
  <si>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</si>
  <si>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</si>
  <si>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</si>
  <si>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</si>
  <si>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</si>
  <si>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</si>
  <si>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</si>
  <si>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</si>
  <si>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</si>
  <si>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</si>
  <si>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</si>
  <si>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</si>
  <si>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</si>
  <si>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</si>
  <si>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</si>
  <si>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</si>
  <si>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</si>
  <si>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</si>
  <si>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</si>
  <si>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</si>
  <si>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</si>
  <si>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</si>
  <si>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</si>
  <si>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</si>
  <si>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</si>
  <si>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</si>
  <si>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</si>
  <si>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</si>
  <si>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</si>
  <si>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</si>
  <si>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</si>
  <si>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</si>
  <si>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</si>
  <si>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</si>
  <si>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</si>
  <si>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</si>
  <si>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</si>
  <si>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</si>
  <si>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</si>
  <si>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</si>
  <si>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</si>
  <si>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</si>
  <si>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</si>
  <si>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</si>
  <si>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</si>
  <si>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</si>
  <si>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</si>
  <si>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</si>
  <si>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</si>
  <si>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</si>
  <si>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</si>
  <si>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</si>
  <si>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</si>
  <si>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</si>
  <si>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</si>
  <si>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</si>
  <si>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</si>
  <si>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</si>
  <si>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</si>
  <si>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</si>
  <si>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</si>
  <si>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</si>
  <si>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</si>
  <si>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</si>
  <si>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</si>
  <si>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</si>
  <si>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</si>
  <si>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</si>
  <si>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</si>
  <si>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</si>
  <si>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</si>
  <si>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</si>
  <si>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</si>
  <si>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</si>
  <si>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</si>
  <si>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</si>
  <si>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</si>
  <si>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</si>
  <si>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</si>
  <si>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</si>
  <si>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</si>
  <si>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</si>
  <si>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</si>
  <si>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</si>
  <si>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</si>
  <si>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</si>
  <si>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</si>
  <si>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</si>
  <si>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</si>
  <si>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</si>
  <si>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</si>
  <si>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</si>
  <si>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</si>
  <si>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</si>
  <si>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</si>
  <si>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</si>
  <si>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</si>
  <si>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</si>
  <si>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</si>
  <si>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</si>
  <si>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</si>
  <si>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</si>
  <si>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</si>
  <si>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</si>
  <si>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</si>
  <si>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</si>
  <si>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</si>
  <si>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</si>
  <si>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</si>
  <si>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</si>
  <si>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</si>
  <si>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</si>
  <si>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</si>
  <si>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</si>
  <si>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</si>
  <si>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</si>
  <si>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</si>
  <si>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</si>
  <si>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</si>
  <si>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</si>
  <si>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</si>
  <si>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</si>
  <si>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</si>
  <si>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</si>
  <si>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</si>
  <si>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</si>
  <si>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</si>
  <si>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</si>
  <si>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</si>
  <si>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</si>
  <si>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</si>
  <si>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</si>
  <si>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</si>
  <si>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</si>
  <si>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</si>
  <si>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</si>
  <si>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</si>
  <si>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</si>
  <si>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</si>
  <si>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</si>
  <si>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</si>
  <si>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</si>
  <si>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</si>
  <si>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</si>
  <si>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</si>
  <si>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</si>
  <si>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</si>
  <si>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</si>
  <si>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</si>
  <si>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</si>
  <si>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</si>
  <si>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</si>
  <si>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</si>
  <si>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</si>
  <si>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</si>
  <si>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</si>
  <si>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</si>
  <si>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</si>
  <si>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</si>
  <si>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</si>
  <si>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</si>
  <si>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</si>
  <si>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</si>
  <si>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</si>
  <si>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</si>
  <si>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</si>
  <si>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</si>
  <si>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</si>
  <si>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</si>
  <si>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</si>
  <si>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</si>
  <si>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</si>
  <si>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</si>
  <si>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</si>
  <si>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</si>
  <si>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</si>
  <si>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</si>
  <si>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</si>
  <si>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</si>
  <si>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</si>
  <si>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</si>
  <si>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</si>
  <si>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</si>
  <si>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</si>
  <si>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</si>
  <si>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</si>
  <si>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</si>
  <si>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</si>
  <si>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</si>
  <si>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</si>
  <si>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</si>
  <si>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</si>
  <si>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</si>
  <si>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</si>
  <si>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</si>
  <si>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</si>
  <si>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</si>
  <si>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</si>
  <si>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</si>
  <si>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</si>
  <si>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</si>
  <si>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</si>
  <si>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</si>
  <si>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</si>
  <si>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</si>
  <si>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</si>
  <si>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</si>
  <si>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</si>
  <si>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</si>
  <si>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</si>
  <si>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</si>
  <si>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</si>
  <si>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</si>
  <si>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</si>
  <si>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</si>
  <si>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</si>
  <si>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</si>
  <si>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</si>
  <si>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</si>
  <si>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</si>
  <si>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</si>
  <si>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</si>
  <si>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</si>
  <si>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</si>
  <si>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</si>
  <si>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</si>
  <si>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</si>
  <si>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</si>
  <si>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</si>
  <si>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</si>
  <si>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</si>
  <si>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</si>
  <si>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</si>
  <si>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</si>
  <si>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</si>
  <si>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</si>
  <si>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</si>
  <si>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</si>
  <si>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</si>
  <si>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</si>
  <si>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</si>
  <si>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</si>
  <si>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</si>
  <si>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</si>
  <si>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</si>
  <si>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</si>
  <si>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</si>
  <si>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</si>
  <si>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</si>
  <si>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</si>
  <si>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</si>
  <si>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</si>
  <si>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</si>
  <si>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</si>
  <si>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</si>
  <si>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</si>
  <si>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</si>
  <si>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</si>
  <si>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</si>
  <si>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</si>
  <si>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</si>
  <si>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</si>
  <si>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</si>
  <si>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</si>
  <si>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</si>
  <si>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</si>
  <si>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</si>
  <si>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</si>
  <si>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</si>
  <si>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</si>
  <si>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</si>
  <si>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</si>
  <si>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</si>
  <si>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</si>
  <si>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</si>
  <si>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</si>
  <si>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</si>
  <si>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</si>
  <si>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</si>
  <si>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</si>
  <si>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</si>
  <si>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</si>
  <si>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</si>
  <si>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</si>
  <si>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</si>
  <si>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</si>
  <si>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</si>
  <si>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</si>
  <si>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</si>
  <si>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</si>
  <si>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</si>
  <si>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</si>
  <si>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</si>
  <si>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</si>
  <si>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</si>
  <si>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</si>
  <si>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</si>
  <si>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</si>
  <si>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</si>
  <si>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</si>
  <si>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</si>
  <si>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</si>
  <si>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</si>
  <si>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</si>
  <si>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</si>
  <si>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</si>
  <si>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</si>
  <si>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</si>
  <si>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</si>
  <si>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</si>
  <si>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</si>
  <si>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</si>
  <si>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</si>
  <si>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</si>
  <si>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</si>
  <si>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</si>
  <si>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</si>
  <si>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</si>
  <si>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</si>
  <si>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</si>
  <si>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</si>
  <si>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</si>
  <si>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</si>
  <si>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</si>
  <si>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</si>
  <si>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</si>
  <si>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</si>
  <si>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</si>
  <si>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</si>
  <si>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</si>
  <si>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</si>
  <si>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</si>
  <si>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</si>
  <si>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</si>
  <si>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</si>
  <si>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</si>
  <si>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</si>
  <si>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</si>
  <si>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</si>
  <si>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</si>
  <si>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</si>
  <si>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</si>
  <si>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</si>
  <si>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</si>
  <si>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</si>
  <si>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</si>
  <si>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</si>
  <si>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</si>
  <si>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</si>
  <si>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</si>
  <si>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</si>
  <si>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</si>
  <si>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</si>
  <si>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</si>
  <si>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</si>
  <si>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</si>
  <si>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</si>
  <si>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</si>
  <si>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</si>
  <si>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</si>
  <si>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</si>
  <si>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</si>
  <si>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</si>
  <si>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</si>
  <si>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</si>
  <si>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</si>
  <si>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</si>
  <si>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</si>
  <si>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</si>
  <si>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</si>
  <si>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</si>
  <si>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</si>
  <si>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</si>
  <si>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</si>
  <si>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</si>
  <si>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</si>
  <si>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</si>
  <si>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</si>
  <si>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</si>
  <si>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</si>
  <si>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</si>
  <si>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</si>
  <si>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</si>
  <si>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</si>
  <si>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</si>
  <si>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</si>
  <si>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</si>
  <si>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</si>
  <si>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</si>
  <si>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</si>
  <si>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</si>
  <si>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</si>
  <si>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</si>
  <si>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</si>
  <si>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</si>
  <si>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</si>
  <si>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</si>
  <si>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</si>
  <si>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</si>
  <si>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</si>
  <si>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</si>
  <si>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</si>
  <si>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</si>
  <si>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</si>
  <si>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</si>
  <si>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</si>
  <si>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</si>
  <si>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</si>
  <si>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</si>
  <si>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</si>
  <si>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</si>
  <si>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</si>
  <si>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</si>
  <si>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</si>
  <si>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</si>
  <si>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</si>
  <si>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</si>
  <si>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</si>
  <si>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</si>
  <si>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</si>
  <si>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</si>
  <si>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</si>
  <si>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</si>
  <si>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</si>
  <si>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</si>
  <si>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</si>
  <si>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</si>
  <si>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</si>
  <si>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</si>
  <si>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</si>
  <si>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</si>
  <si>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</si>
  <si>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</si>
  <si>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</si>
  <si>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</si>
  <si>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</si>
  <si>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</si>
  <si>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</si>
  <si>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</si>
  <si>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</si>
  <si>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</si>
  <si>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</si>
  <si>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</si>
  <si>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</si>
  <si>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</si>
  <si>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</si>
  <si>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</si>
  <si>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</si>
  <si>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</si>
  <si>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</si>
  <si>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</si>
  <si>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</si>
  <si>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</si>
  <si>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</si>
  <si>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</si>
  <si>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</si>
  <si>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</si>
  <si>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</si>
  <si>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</si>
  <si>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</si>
  <si>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</si>
  <si>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</si>
  <si>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</si>
  <si>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</si>
  <si>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</si>
  <si>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</si>
  <si>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</si>
  <si>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</si>
  <si>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</si>
  <si>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</si>
  <si>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</si>
  <si>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</si>
  <si>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</si>
  <si>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</si>
  <si>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</si>
  <si>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</si>
  <si>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</si>
  <si>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</si>
  <si>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</si>
  <si>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</si>
  <si>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</si>
  <si>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</si>
  <si>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</si>
  <si>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</si>
  <si>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</si>
  <si>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</si>
  <si>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</si>
  <si>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</si>
  <si>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</si>
  <si>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</si>
  <si>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</si>
  <si>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</si>
  <si>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</si>
  <si>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</si>
  <si>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</si>
  <si>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</si>
  <si>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</si>
  <si>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</si>
  <si>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</si>
  <si>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</si>
  <si>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</si>
  <si>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</si>
  <si>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</si>
  <si>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</si>
  <si>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</si>
  <si>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</si>
  <si>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</si>
  <si>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</si>
  <si>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</si>
  <si>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</si>
  <si>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</si>
  <si>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</si>
  <si>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</si>
  <si>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</si>
  <si>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</si>
  <si>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</si>
  <si>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</si>
  <si>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</si>
  <si>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</si>
  <si>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</si>
  <si>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</si>
  <si>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</si>
  <si>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</si>
  <si>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</si>
  <si>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</si>
  <si>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</si>
  <si>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</si>
  <si>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</si>
  <si>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</si>
  <si>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</si>
  <si>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</si>
  <si>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</si>
  <si>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</si>
  <si>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</si>
  <si>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</si>
  <si>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</si>
  <si>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</si>
  <si>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</si>
  <si>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</si>
  <si>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</si>
  <si>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</si>
  <si>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</si>
  <si>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</si>
  <si>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</si>
  <si>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</si>
  <si>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</si>
  <si>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</si>
  <si>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</si>
  <si>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</si>
  <si>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</si>
  <si>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</si>
  <si>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</si>
  <si>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</si>
  <si>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</si>
  <si>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</si>
  <si>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</si>
  <si>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</si>
  <si>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</si>
  <si>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</si>
  <si>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</si>
  <si>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</si>
  <si>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</si>
  <si>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</si>
  <si>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</si>
  <si>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</si>
  <si>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</si>
  <si>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</si>
  <si>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</si>
  <si>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</si>
  <si>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</si>
  <si>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</si>
  <si>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</si>
  <si>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</si>
  <si>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</si>
  <si>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</si>
  <si>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</si>
  <si>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</si>
  <si>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</si>
  <si>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</si>
  <si>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</si>
  <si>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</si>
  <si>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</si>
  <si>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</si>
  <si>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</si>
  <si>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</si>
  <si>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</si>
  <si>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</si>
  <si>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</si>
  <si>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</si>
  <si>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</si>
  <si>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</si>
  <si>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</si>
  <si>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</si>
  <si>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</si>
  <si>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</si>
  <si>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</si>
  <si>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</si>
  <si>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</si>
  <si>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</si>
  <si>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</si>
  <si>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</si>
  <si>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</si>
  <si>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</si>
  <si>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</si>
  <si>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</si>
  <si>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</si>
  <si>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</si>
  <si>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</si>
  <si>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</si>
  <si>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</si>
  <si>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</si>
  <si>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</si>
  <si>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</si>
  <si>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</si>
  <si>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</si>
  <si>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</si>
  <si>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</si>
  <si>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</si>
  <si>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</si>
  <si>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</si>
  <si>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</si>
  <si>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</si>
  <si>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</si>
  <si>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</si>
  <si>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</si>
  <si>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</si>
  <si>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</si>
  <si>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</si>
  <si>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</si>
  <si>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</si>
  <si>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</si>
  <si>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</si>
  <si>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</si>
  <si>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</si>
  <si>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</si>
  <si>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</si>
  <si>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</si>
  <si>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</si>
  <si>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</si>
  <si>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</si>
  <si>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</si>
  <si>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</si>
  <si>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</si>
  <si>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</si>
  <si>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</si>
  <si>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</si>
  <si>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</si>
  <si>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</si>
  <si>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</si>
  <si>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</si>
  <si>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</si>
  <si>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</si>
  <si>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</si>
  <si>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</si>
  <si>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</si>
  <si>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</si>
  <si>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</si>
  <si>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</si>
  <si>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</si>
  <si>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</si>
  <si>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</si>
  <si>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</si>
  <si>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</si>
  <si>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</si>
  <si>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</si>
  <si>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</si>
  <si>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</si>
  <si>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</si>
  <si>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</si>
  <si>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</si>
  <si>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</si>
  <si>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</si>
  <si>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</si>
  <si>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</si>
  <si>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</si>
  <si>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</si>
  <si>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</si>
  <si>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</si>
  <si>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</si>
  <si>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</si>
  <si>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</si>
  <si>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</si>
  <si>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</si>
  <si>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</si>
  <si>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</si>
  <si>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</si>
  <si>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</si>
  <si>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</si>
  <si>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</si>
  <si>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</si>
  <si>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</si>
  <si>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</si>
  <si>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</si>
  <si>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</si>
  <si>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</si>
  <si>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</si>
  <si>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</si>
  <si>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</si>
  <si>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</si>
  <si>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</si>
  <si>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</si>
  <si>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</si>
  <si>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</si>
  <si>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</si>
  <si>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</si>
  <si>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</si>
  <si>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</si>
  <si>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</si>
  <si>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</si>
  <si>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</si>
  <si>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</si>
  <si>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</si>
  <si>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</si>
  <si>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</si>
  <si>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</si>
  <si>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</si>
  <si>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</si>
  <si>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</si>
  <si>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</si>
  <si>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</si>
  <si>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</si>
  <si>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</si>
  <si>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</si>
  <si>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</si>
  <si>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</si>
  <si>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</si>
  <si>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</si>
  <si>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</si>
  <si>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</si>
  <si>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</si>
  <si>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</si>
  <si>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</si>
  <si>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</si>
  <si>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</si>
  <si>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</si>
  <si>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</si>
  <si>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</si>
  <si>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</si>
  <si>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</si>
  <si>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</si>
  <si>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</si>
  <si>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</si>
  <si>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</si>
  <si>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</si>
  <si>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</si>
  <si>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</si>
  <si>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</si>
  <si>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</si>
  <si>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</si>
  <si>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</si>
  <si>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</si>
  <si>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</si>
  <si>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</si>
  <si>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</si>
  <si>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</si>
  <si>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</si>
  <si>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</si>
  <si>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</si>
  <si>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</si>
  <si>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</si>
  <si>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</si>
  <si>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</si>
  <si>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</si>
  <si>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</si>
  <si>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</si>
  <si>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</si>
  <si>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</si>
  <si>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</si>
  <si>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</si>
  <si>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</si>
  <si>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</si>
  <si>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</si>
  <si>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</si>
  <si>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</si>
  <si>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</si>
  <si>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</si>
  <si>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</si>
  <si>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</si>
  <si>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</si>
  <si>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</si>
  <si>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</si>
  <si>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</si>
  <si>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</si>
  <si>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</si>
  <si>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</si>
  <si>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</si>
  <si>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</si>
  <si>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</si>
  <si>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</si>
  <si>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</si>
  <si>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</si>
  <si>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</si>
  <si>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</si>
  <si>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</si>
  <si>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</si>
  <si>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</si>
  <si>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</si>
  <si>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</si>
  <si>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</si>
  <si>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</si>
  <si>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</si>
  <si>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</si>
  <si>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</si>
  <si>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</si>
  <si>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</si>
  <si>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</si>
  <si>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</si>
  <si>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</si>
  <si>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</si>
  <si>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</si>
  <si>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</si>
  <si>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</si>
  <si>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</si>
  <si>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</si>
  <si>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</si>
  <si>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</si>
  <si>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</si>
  <si>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</si>
  <si>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</si>
  <si>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</si>
  <si>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</si>
  <si>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</si>
  <si>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</si>
  <si>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</si>
  <si>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</si>
  <si>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</si>
  <si>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</si>
  <si>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</si>
  <si>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</si>
  <si>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</si>
  <si>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</si>
  <si>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</si>
  <si>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</si>
  <si>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</si>
  <si>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</si>
  <si>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</si>
  <si>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</si>
  <si>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</si>
  <si>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</si>
  <si>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</si>
  <si>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</si>
  <si>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</si>
  <si>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</si>
  <si>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</si>
  <si>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</si>
  <si>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</si>
  <si>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</si>
  <si>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</si>
  <si>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</si>
  <si>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</si>
  <si>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</si>
  <si>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</si>
  <si>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</si>
  <si>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</si>
  <si>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</si>
  <si>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</si>
  <si>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</si>
  <si>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</si>
  <si>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</si>
  <si>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</si>
  <si>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</si>
  <si>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</si>
  <si>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</si>
  <si>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</si>
  <si>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</si>
  <si>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</si>
  <si>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</si>
  <si>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</si>
  <si>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</si>
  <si>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</si>
  <si>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</si>
  <si>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</si>
  <si>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</si>
  <si>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</si>
  <si>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</si>
  <si>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</si>
  <si>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</si>
  <si>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</si>
  <si>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</si>
  <si>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</si>
  <si>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</si>
  <si>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</si>
  <si>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</si>
  <si>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</si>
  <si>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</si>
  <si>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</si>
  <si>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</si>
  <si>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</si>
  <si>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</si>
  <si>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</si>
  <si>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</si>
  <si>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</si>
  <si>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</si>
  <si>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</si>
  <si>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</si>
  <si>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</si>
  <si>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</si>
  <si>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</si>
  <si>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</si>
  <si>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</si>
  <si>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</si>
  <si>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</si>
  <si>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</si>
  <si>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</si>
  <si>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</si>
  <si>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</si>
  <si>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</si>
  <si>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</si>
  <si>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</si>
  <si>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</si>
  <si>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</si>
  <si>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</si>
  <si>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</si>
  <si>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</si>
  <si>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</si>
  <si>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</si>
  <si>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</si>
  <si>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</si>
  <si>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</si>
  <si>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</si>
  <si>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</si>
  <si>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</si>
  <si>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</si>
  <si>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</si>
  <si>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</si>
  <si>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</si>
  <si>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</si>
  <si>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</si>
  <si>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</si>
  <si>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</si>
  <si>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</si>
  <si>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</si>
  <si>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</si>
  <si>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</si>
  <si>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</si>
  <si>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</si>
  <si>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</si>
  <si>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</si>
  <si>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</si>
  <si>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</si>
  <si>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</si>
  <si>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</si>
  <si>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</si>
  <si>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</si>
  <si>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</si>
  <si>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</si>
  <si>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</si>
  <si>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</si>
  <si>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</si>
  <si>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</si>
  <si>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</si>
  <si>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</si>
  <si>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</si>
  <si>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</si>
  <si>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</si>
  <si>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</si>
  <si>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</si>
  <si>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</si>
  <si>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</si>
  <si>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</si>
  <si>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</si>
  <si>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</si>
  <si>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</si>
  <si>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</si>
  <si>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</si>
  <si>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</si>
  <si>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</si>
  <si>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</si>
  <si>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</si>
  <si>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</si>
  <si>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</si>
  <si>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</si>
  <si>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</si>
  <si>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</si>
  <si>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</si>
  <si>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</si>
  <si>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</si>
  <si>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</si>
  <si>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</si>
  <si>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</si>
  <si>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</si>
  <si>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</si>
  <si>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</si>
  <si>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</si>
  <si>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</si>
  <si>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</si>
  <si>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</si>
  <si>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</si>
  <si>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</si>
  <si>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</si>
  <si>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</si>
  <si>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</si>
  <si>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</si>
  <si>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</si>
  <si>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</si>
  <si>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</si>
  <si>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</si>
  <si>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</si>
  <si>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</si>
  <si>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</si>
  <si>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</si>
  <si>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</si>
  <si>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</si>
  <si>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</si>
  <si>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</si>
  <si>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</si>
  <si>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</si>
  <si>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</si>
  <si>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</si>
  <si>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</si>
  <si>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</si>
  <si>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</si>
  <si>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</si>
  <si>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</si>
  <si>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</si>
  <si>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</si>
  <si>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</si>
  <si>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</si>
  <si>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</si>
  <si>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</si>
  <si>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</si>
  <si>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</si>
  <si>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</si>
  <si>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</si>
  <si>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</si>
  <si>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</si>
  <si>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</si>
  <si>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</si>
  <si>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</si>
  <si>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</si>
  <si>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</si>
  <si>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</si>
  <si>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</si>
  <si>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</si>
  <si>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</si>
  <si>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</si>
  <si>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</si>
  <si>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</si>
  <si>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</si>
  <si>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</si>
  <si>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</si>
  <si>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</si>
  <si>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</si>
  <si>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</si>
  <si>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</si>
  <si>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</si>
  <si>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</si>
  <si>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</si>
  <si>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</si>
  <si>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</si>
  <si>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</si>
  <si>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</si>
  <si>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</si>
  <si>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</si>
  <si>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</si>
  <si>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</si>
  <si>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</si>
  <si>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</si>
  <si>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</si>
  <si>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</si>
  <si>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</si>
  <si>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</si>
  <si>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</si>
  <si>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</si>
  <si>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</si>
  <si>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</si>
  <si>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</si>
  <si>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</si>
  <si>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</si>
  <si>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</si>
  <si>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</si>
  <si>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</si>
  <si>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</si>
  <si>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</si>
  <si>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</si>
  <si>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</si>
  <si>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</si>
  <si>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</si>
  <si>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</si>
  <si>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</si>
  <si>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</si>
  <si>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</si>
  <si>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</si>
  <si>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</si>
  <si>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</si>
  <si>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</si>
  <si>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</si>
  <si>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</si>
  <si>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</si>
  <si>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</si>
  <si>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</si>
  <si>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</si>
  <si>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</si>
  <si>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</si>
  <si>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</si>
  <si>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</si>
  <si>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</si>
  <si>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</si>
  <si>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</si>
  <si>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</si>
  <si>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</si>
  <si>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</si>
  <si>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</si>
  <si>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</si>
  <si>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</si>
  <si>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</si>
  <si>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</si>
  <si>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</si>
  <si>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</si>
  <si>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</si>
  <si>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</si>
  <si>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</si>
  <si>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</si>
  <si>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</si>
  <si>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</si>
  <si>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</si>
  <si>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</si>
  <si>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</si>
  <si>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</si>
  <si>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</si>
  <si>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</si>
  <si>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</si>
  <si>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</si>
  <si>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</si>
  <si>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</si>
  <si>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</si>
  <si>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</si>
  <si>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</si>
  <si>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</si>
  <si>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</si>
  <si>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</si>
  <si>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</si>
  <si>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</si>
  <si>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</si>
  <si>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</si>
  <si>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</si>
  <si>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</si>
  <si>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</si>
  <si>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</si>
  <si>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</si>
  <si>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</si>
  <si>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</si>
  <si>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</si>
  <si>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</si>
  <si>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</si>
  <si>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</si>
  <si>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</si>
  <si>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</si>
  <si>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</si>
  <si>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</si>
  <si>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</si>
  <si>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</si>
  <si>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</si>
  <si>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</si>
  <si>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</si>
  <si>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</si>
  <si>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</si>
  <si>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</si>
  <si>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</si>
  <si>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</si>
  <si>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</si>
  <si>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</si>
  <si>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</si>
  <si>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</si>
  <si>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</si>
  <si>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</si>
  <si>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</si>
  <si>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</si>
  <si>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</si>
  <si>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</si>
  <si>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</si>
  <si>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</si>
  <si>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</si>
  <si>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</si>
  <si>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</si>
  <si>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</si>
  <si>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</si>
  <si>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</si>
  <si>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</si>
  <si>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</si>
  <si>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</si>
  <si>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</si>
  <si>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</si>
  <si>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</si>
  <si>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</si>
  <si>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</si>
  <si>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</si>
  <si>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</si>
  <si>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</si>
  <si>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</si>
  <si>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</si>
  <si>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</si>
  <si>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</si>
  <si>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</si>
  <si>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</si>
  <si>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</si>
  <si>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</si>
  <si>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</si>
  <si>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</si>
  <si>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</si>
  <si>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</si>
  <si>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</si>
  <si>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</si>
  <si>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</si>
  <si>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</si>
  <si>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</si>
  <si>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</si>
  <si>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</si>
  <si>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</si>
  <si>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</si>
  <si>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</si>
  <si>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</si>
  <si>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</si>
  <si>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</si>
  <si>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</si>
  <si>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</si>
  <si>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</si>
  <si>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</si>
  <si>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</si>
  <si>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</si>
  <si>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</si>
  <si>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</si>
  <si>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</si>
  <si>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</si>
  <si>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</si>
  <si>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</si>
  <si>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</si>
  <si>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</si>
  <si>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</si>
  <si>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</si>
  <si>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</si>
  <si>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</si>
  <si>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</si>
  <si>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</si>
  <si>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</si>
  <si>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</si>
  <si>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</si>
  <si>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</si>
  <si>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</si>
  <si>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</si>
  <si>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</si>
  <si>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</si>
  <si>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</si>
  <si>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</si>
  <si>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</si>
  <si>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</si>
  <si>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</si>
  <si>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</si>
  <si>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</si>
  <si>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</si>
  <si>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</si>
  <si>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</si>
  <si>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</si>
  <si>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</si>
  <si>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</si>
  <si>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</si>
  <si>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</si>
  <si>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</si>
  <si>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</si>
  <si>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</si>
  <si>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</si>
  <si>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</si>
  <si>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</si>
  <si>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</si>
  <si>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</si>
  <si>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</si>
  <si>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</si>
  <si>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</si>
  <si>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</si>
  <si>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</si>
  <si>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</si>
  <si>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</si>
  <si>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</si>
  <si>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</si>
  <si>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</si>
  <si>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</si>
  <si>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</si>
  <si>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</si>
  <si>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</si>
  <si>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</si>
  <si>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</si>
  <si>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</si>
  <si>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</si>
  <si>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</si>
  <si>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</si>
  <si>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</si>
  <si>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</si>
  <si>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</si>
  <si>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</si>
  <si>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</si>
  <si>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</si>
  <si>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</si>
  <si>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</si>
  <si>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</si>
  <si>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</si>
  <si>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</si>
  <si>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</si>
  <si>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</si>
  <si>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</si>
  <si>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</si>
  <si>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</si>
  <si>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</si>
  <si>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</si>
  <si>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</si>
  <si>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</si>
  <si>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</si>
  <si>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</si>
  <si>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</si>
  <si>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</si>
  <si>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</si>
  <si>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</si>
  <si>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</si>
  <si>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</si>
  <si>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</si>
  <si>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</si>
  <si>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</si>
  <si>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</si>
  <si>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</si>
  <si>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</si>
  <si>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</si>
  <si>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</si>
  <si>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</si>
  <si>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</si>
  <si>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</si>
  <si>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</si>
  <si>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</si>
  <si>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</si>
  <si>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</si>
  <si>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</si>
  <si>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</si>
  <si>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</si>
  <si>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</si>
  <si>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</si>
  <si>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</si>
  <si>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</si>
  <si>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</si>
  <si>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</si>
  <si>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</si>
  <si>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</si>
  <si>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</si>
  <si>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</si>
  <si>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</si>
  <si>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</si>
  <si>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</si>
  <si>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</si>
  <si>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</si>
  <si>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</si>
  <si>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</si>
  <si>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</si>
  <si>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</si>
  <si>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</si>
  <si>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</si>
  <si>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</si>
  <si>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</si>
  <si>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</si>
  <si>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</si>
  <si>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</si>
  <si>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</si>
  <si>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</si>
  <si>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</si>
  <si>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</si>
  <si>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</si>
  <si>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</si>
  <si>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</si>
  <si>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</si>
  <si>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</si>
  <si>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</si>
  <si>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</si>
  <si>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</si>
  <si>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</si>
  <si>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</si>
  <si>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</si>
  <si>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</si>
  <si>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</si>
  <si>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</si>
  <si>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</si>
  <si>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</si>
  <si>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</si>
  <si>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</si>
  <si>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</si>
  <si>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</si>
  <si>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</si>
  <si>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</si>
  <si>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</si>
  <si>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</si>
  <si>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</si>
  <si>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</si>
  <si>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</si>
  <si>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</si>
  <si>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</si>
  <si>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</si>
  <si>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</si>
  <si>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</si>
  <si>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</si>
  <si>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</si>
  <si>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</si>
  <si>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</si>
  <si>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</si>
  <si>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</si>
  <si>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</si>
  <si>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</si>
  <si>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</si>
  <si>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</si>
  <si>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</si>
  <si>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</si>
  <si>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</si>
  <si>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</si>
  <si>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</si>
  <si>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</si>
  <si>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</si>
  <si>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</si>
  <si>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</si>
  <si>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</si>
  <si>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</si>
  <si>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</si>
  <si>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</si>
  <si>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</si>
  <si>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</si>
  <si>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</si>
  <si>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</si>
  <si>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</si>
  <si>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</si>
  <si>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</si>
  <si>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</si>
  <si>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</si>
  <si>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</si>
  <si>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</si>
  <si>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</si>
  <si>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</si>
  <si>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</si>
  <si>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</si>
  <si>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</si>
  <si>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</si>
  <si>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</si>
  <si>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</si>
  <si>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</si>
  <si>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</si>
  <si>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</si>
  <si>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</si>
  <si>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</si>
  <si>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</si>
  <si>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</si>
  <si>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</si>
  <si>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</si>
  <si>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</si>
  <si>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</si>
  <si>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</si>
  <si>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</si>
  <si>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</si>
  <si>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</si>
  <si>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</si>
  <si>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</si>
  <si>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</si>
  <si>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</si>
  <si>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</si>
  <si>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</si>
  <si>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</si>
  <si>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</si>
  <si>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</si>
  <si>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</si>
  <si>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</si>
  <si>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</si>
  <si>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</si>
  <si>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</si>
  <si>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</si>
  <si>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</si>
  <si>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</si>
  <si>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</si>
  <si>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</si>
  <si>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</si>
  <si>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</si>
  <si>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</si>
  <si>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</si>
  <si>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</si>
  <si>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</si>
  <si>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</si>
  <si>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</si>
  <si>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</si>
  <si>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</si>
  <si>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</si>
  <si>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</si>
  <si>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</si>
  <si>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</si>
  <si>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</si>
  <si>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</si>
  <si>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</si>
  <si>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</si>
  <si>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</si>
  <si>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</si>
  <si>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</si>
  <si>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</si>
  <si>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</si>
  <si>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</si>
  <si>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</si>
  <si>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</si>
  <si>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</si>
  <si>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</si>
  <si>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</si>
  <si>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</si>
  <si>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</si>
  <si>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</si>
  <si>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</si>
  <si>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</si>
  <si>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</si>
  <si>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</si>
  <si>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</si>
  <si>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</si>
  <si>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</si>
  <si>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</si>
  <si>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</si>
  <si>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</si>
  <si>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</si>
  <si>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</si>
  <si>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</si>
  <si>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</si>
  <si>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</si>
  <si>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</si>
  <si>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</si>
  <si>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</si>
  <si>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</si>
  <si>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</si>
  <si>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</si>
  <si>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</si>
  <si>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</si>
  <si>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</si>
  <si>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</si>
  <si>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</si>
  <si>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</si>
  <si>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</si>
  <si>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</si>
  <si>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</si>
  <si>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</si>
  <si>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</si>
  <si>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</si>
  <si>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</si>
  <si>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</si>
  <si>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</si>
  <si>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</si>
  <si>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</si>
  <si>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</si>
  <si>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</si>
  <si>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</si>
  <si>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</si>
  <si>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</si>
  <si>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</si>
  <si>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</si>
  <si>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</si>
  <si>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</si>
  <si>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</si>
  <si>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</si>
  <si>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</si>
  <si>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</si>
  <si>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</si>
  <si>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</si>
  <si>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</si>
  <si>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</si>
  <si>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</si>
  <si>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</si>
  <si>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</si>
  <si>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</si>
  <si>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</si>
  <si>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</si>
  <si>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</si>
  <si>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</si>
  <si>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</si>
  <si>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</si>
  <si>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</si>
  <si>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</si>
  <si>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</si>
  <si>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</si>
  <si>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</si>
  <si>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</si>
  <si>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</si>
  <si>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</si>
  <si>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</si>
  <si>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</si>
  <si>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</si>
  <si>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</si>
  <si>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</si>
  <si>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</si>
  <si>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</si>
  <si>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</si>
  <si>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</si>
  <si>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</si>
  <si>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</si>
  <si>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</si>
  <si>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</si>
  <si>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</si>
  <si>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</si>
  <si>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</si>
  <si>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</si>
  <si>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</si>
  <si>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</si>
  <si>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</si>
  <si>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</si>
  <si>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</si>
  <si>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</si>
  <si>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</si>
  <si>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</si>
  <si>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</si>
  <si>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</si>
  <si>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</si>
  <si>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</si>
  <si>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</si>
  <si>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</si>
  <si>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</si>
  <si>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</si>
  <si>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</si>
  <si>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</si>
  <si>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</si>
  <si>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</si>
  <si>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</si>
  <si>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</si>
  <si>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</si>
  <si>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</si>
  <si>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</si>
  <si>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</si>
  <si>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</si>
  <si>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</si>
  <si>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</si>
  <si>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</si>
  <si>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</si>
  <si>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</si>
  <si>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</si>
  <si>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</si>
  <si>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</si>
  <si>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</si>
  <si>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</si>
  <si>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</si>
  <si>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</si>
  <si>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</si>
  <si>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</si>
  <si>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</si>
  <si>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</si>
  <si>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</si>
  <si>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</si>
  <si>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</si>
  <si>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</si>
  <si>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</si>
  <si>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</si>
  <si>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</si>
  <si>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</si>
  <si>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</si>
  <si>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</si>
  <si>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</si>
  <si>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SEE SEFA18 TAB</t>
  </si>
  <si>
    <t>Henry</t>
  </si>
  <si>
    <t>Henry-Stark Counties Special Education District No. 801</t>
  </si>
  <si>
    <t>1318 W. Sixth Street, PO Box 597</t>
  </si>
  <si>
    <t>Kewanee</t>
  </si>
  <si>
    <t>T. Gregory Wertheim</t>
  </si>
  <si>
    <t>gwertheim@hscsed.com</t>
  </si>
  <si>
    <t>309-852-5696 Ext. 105</t>
  </si>
  <si>
    <t>309-853-4398</t>
  </si>
  <si>
    <t>Thomas R. Peffer, CPA</t>
  </si>
  <si>
    <t>tpeffer@gorenzcpa.com</t>
  </si>
  <si>
    <t>The opinion is adverse due to the use of the Regulatory Basis of Accounting.</t>
  </si>
  <si>
    <t>x</t>
  </si>
  <si>
    <t>The accompanying Schedule of Expenditures of Federal Awards includes the federal grant activity of Henry-Stark Counties Special Education District No. 801 and is presented on the cash basis.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</si>
  <si>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None</t>
  </si>
  <si>
    <r>
      <t xml:space="preserve">The following amounts were expended in the form of non-cash assistance by Henry-Stark Counties Special Education District No. 801 and </t>
    </r>
    <r>
      <rPr>
        <b/>
        <sz val="9"/>
        <rFont val="Calibri"/>
        <family val="2"/>
        <scheme val="minor"/>
      </rPr>
      <t>should be</t>
    </r>
    <r>
      <rPr>
        <sz val="9"/>
        <rFont val="Calibri"/>
        <family val="2"/>
        <scheme val="minor"/>
      </rPr>
      <t xml:space="preserve"> included in the Schedule of Expenditures of Federal Awards:</t>
    </r>
  </si>
  <si>
    <t>Of the federal expenditures presented in the schedule, Henry-Stark Counties Special Education District No. 801 provided federal awards to subrecipients as follows:</t>
  </si>
  <si>
    <t>Federal awards received are reflected in the District's financial statements within the Educational Fund as receipts from federal sources. Amounts reported in the accompanying Schedule of Expenditures of Federal Awards agree with amounts reported in the Program Financial Report for programs which have filed final reports as of June 30, 2018 with ISBE.</t>
  </si>
  <si>
    <t>Unmodified</t>
  </si>
  <si>
    <t>IDEA Pre-school Flow-Through</t>
  </si>
  <si>
    <t>IDEA Flow-Through</t>
  </si>
  <si>
    <t>There were no findings for the prior year ending June 30, 2017</t>
  </si>
  <si>
    <t>Note 6: Relationship to Basic Financial Statements and Program Financial Statements</t>
  </si>
  <si>
    <t>066-005027</t>
  </si>
  <si>
    <t>OSF Saint Luke Hospital</t>
  </si>
  <si>
    <t>10-2100-300</t>
  </si>
  <si>
    <t>Ed-Support Services Pupil-Pur Serv</t>
  </si>
  <si>
    <t>RCDT 28-037-8010-60</t>
  </si>
  <si>
    <t xml:space="preserve">                                  Year Ending June 30, 2018                             </t>
  </si>
  <si>
    <t>ISBE</t>
  </si>
  <si>
    <t xml:space="preserve">          Receipts/Revenues          </t>
  </si>
  <si>
    <t xml:space="preserve">  Expenditures/Disbursements  </t>
  </si>
  <si>
    <t>Project</t>
  </si>
  <si>
    <t>Prior to</t>
  </si>
  <si>
    <t>7/01/17-</t>
  </si>
  <si>
    <t>Final</t>
  </si>
  <si>
    <t>Federal Grantor/Pass-Through Grantor,</t>
  </si>
  <si>
    <t>Number</t>
  </si>
  <si>
    <t>6/30/17</t>
  </si>
  <si>
    <t>6/30/18</t>
  </si>
  <si>
    <t>Encumbrances</t>
  </si>
  <si>
    <t>Program Title &amp; Major Program Designation</t>
  </si>
  <si>
    <t xml:space="preserve">        (A)        </t>
  </si>
  <si>
    <t xml:space="preserve">         (B)         </t>
  </si>
  <si>
    <t xml:space="preserve">         (C)         </t>
  </si>
  <si>
    <t xml:space="preserve">         (D)         </t>
  </si>
  <si>
    <t xml:space="preserve">         (E)         </t>
  </si>
  <si>
    <t xml:space="preserve">         (F)         </t>
  </si>
  <si>
    <t xml:space="preserve">         (G)         </t>
  </si>
  <si>
    <t xml:space="preserve">         (H)         </t>
  </si>
  <si>
    <t xml:space="preserve">         (I)         </t>
  </si>
  <si>
    <t>U.S. Department of Agriculture -</t>
  </si>
  <si>
    <t xml:space="preserve">  Pass-through program from</t>
  </si>
  <si>
    <t xml:space="preserve">  Illinois State Board of Education</t>
  </si>
  <si>
    <t>10.555</t>
  </si>
  <si>
    <t>17-4210-00</t>
  </si>
  <si>
    <t>N/A</t>
  </si>
  <si>
    <t>18-4210-00</t>
  </si>
  <si>
    <t>17-4220-00</t>
  </si>
  <si>
    <t>18-4220-00</t>
  </si>
  <si>
    <t>Total U.S. Department of Agriculture</t>
  </si>
  <si>
    <t xml:space="preserve">U.S. Department of Education - </t>
  </si>
  <si>
    <t xml:space="preserve">   Pass-through program from </t>
  </si>
  <si>
    <t xml:space="preserve">   Illinois State Board of Education</t>
  </si>
  <si>
    <t>(M)</t>
  </si>
  <si>
    <t>IDEA - Preschool Flow-Through</t>
  </si>
  <si>
    <t>17-4600-00</t>
  </si>
  <si>
    <t>18-4600-00</t>
  </si>
  <si>
    <t>IDEA - Flow-Through</t>
  </si>
  <si>
    <t>17-4620-00</t>
  </si>
  <si>
    <t>18-4620-00</t>
  </si>
  <si>
    <t>IDEA - Flow-Through - Revenue A/C 2200</t>
  </si>
  <si>
    <t>(1)</t>
  </si>
  <si>
    <t>Total U.S. Department of Education</t>
  </si>
  <si>
    <t>Total Illinois State Board of Education</t>
  </si>
  <si>
    <t xml:space="preserve">U.S. Department of Health and Human Services- Pass-Through Program </t>
  </si>
  <si>
    <t xml:space="preserve">  from the Illinois Department of Healthcare and Family Services</t>
  </si>
  <si>
    <t xml:space="preserve">Medicaid Administrative Outreach </t>
  </si>
  <si>
    <t>17-4991-00</t>
  </si>
  <si>
    <t>18-4991-00</t>
  </si>
  <si>
    <t>Total U.S. Department of Health and Human Services - Pass Through Program</t>
  </si>
  <si>
    <t xml:space="preserve">Total U.S. Department of Health and Human Services </t>
  </si>
  <si>
    <t>Total Federal Awards</t>
  </si>
  <si>
    <t>(M) Indicates Major Federal Financial Assistance Program.</t>
  </si>
  <si>
    <t>(1)Flow-through funding distributed to sub-grantees as follows:</t>
  </si>
  <si>
    <t>Geneseo Community Unit School District No. 228 - $XX,XXX</t>
  </si>
  <si>
    <t xml:space="preserve">(1) Project not complete as of June 30, 2018. </t>
  </si>
  <si>
    <r>
      <t xml:space="preserve">1 </t>
    </r>
    <r>
      <rPr>
        <sz val="8"/>
        <rFont val="Arial"/>
        <family val="2"/>
      </rPr>
      <t xml:space="preserve"> To meet state or other requirements, auditees may decide to include certain nonfederal awards (for example, state awards) in this schedule.  If such nonfederal data are presented,</t>
    </r>
  </si>
  <si>
    <t xml:space="preserve">     they should be segregated and clearly designated as nonfederal.  The title of the schedule should also be modified to indicate that nonfederal awards are included.</t>
  </si>
  <si>
    <r>
      <t>2</t>
    </r>
    <r>
      <rPr>
        <sz val="8"/>
        <rFont val="Arial"/>
        <family val="2"/>
      </rPr>
      <t xml:space="preserve">  When the CFDA number is not available, the auditee should indicate that the CFDA number is not available and include in the schedule the program's name and, if applicable, </t>
    </r>
  </si>
  <si>
    <t xml:space="preserve">     other identifying number.</t>
  </si>
  <si>
    <r>
      <t>3</t>
    </r>
    <r>
      <rPr>
        <sz val="8"/>
        <rFont val="Arial"/>
        <family val="2"/>
      </rPr>
      <t xml:space="preserve">  When awards are received as a subrecipient, the identifying number assigned by the pass-through entity should be included in the schedule.</t>
    </r>
  </si>
  <si>
    <r>
      <t xml:space="preserve">4  </t>
    </r>
    <r>
      <rPr>
        <sz val="8"/>
        <rFont val="Arial"/>
        <family val="2"/>
      </rPr>
      <t xml:space="preserve">Circular A-133 requires that the value of federal awards expended in the form of non-cash assistance, the amount of insurance in effect during the year, and loans or loan guarantees </t>
    </r>
  </si>
  <si>
    <t xml:space="preserve">    outstanding at year end be included in either the schedule or a note to the schedule.  Although it is not required, Circular A-133 states that it is preferable to present this information in</t>
  </si>
  <si>
    <t xml:space="preserve">    the schedule (versus the notes to the schedule).  If the auditee presents non-cash assistance in the notes to the schedule, the auditor should be aware that such amounts must</t>
  </si>
  <si>
    <t xml:space="preserve">    still be included in part III of the data collection form.</t>
  </si>
  <si>
    <t>See below</t>
  </si>
  <si>
    <t>Annawan CUSD No. 226, Bradford CUSD No. 1, Cambridge CUSD No. 227, Galva CUSD No. 224, Geneseo CUSD No. 228, Kewanee CUSD No. 229, Stark CUSD No. 100, Wethersfield CUSD No. 230</t>
  </si>
  <si>
    <t>Page 11, Line 107 - 1999 - Tort assessment charged to member districts</t>
  </si>
  <si>
    <t>gwertheim@hscsed.org</t>
  </si>
  <si>
    <t>see embedded PDF version</t>
  </si>
  <si>
    <t>Henry-Stark County SpEd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</si>
</sst>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 &quot;_);_(@_)"/>
    <numFmt numFmtId="182" formatCode="0.000_)"/>
    <numFmt numFmtId="183" formatCode="_(* #,##0_);_(* \(#,##0\);_(* &quot;-&quot;??_);_(@_)"/>
  </numFmts>
  <fonts count="1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6"/>
      <name val="Calibri"/>
      <family val="2"/>
      <scheme val="minor"/>
    </font>
    <font>
      <sz val="10"/>
      <name val="Courier"/>
    </font>
    <font>
      <sz val="10"/>
      <name val="Courier"/>
      <family val="3"/>
    </font>
    <font>
      <b/>
      <sz val="12"/>
      <name val="Times New Roman"/>
      <family val="1"/>
    </font>
    <font>
      <b/>
      <u/>
      <sz val="11"/>
      <name val="Times New Roman"/>
      <family val="1"/>
    </font>
    <font>
      <b/>
      <sz val="10"/>
      <name val="Times New Roman"/>
      <family val="1"/>
    </font>
    <font>
      <sz val="11"/>
      <name val="Times New Roman"/>
      <family val="1"/>
    </font>
    <font>
      <u/>
      <sz val="11"/>
      <name val="Times New Roman"/>
      <family val="1"/>
    </font>
    <font>
      <u val="singleAccounting"/>
      <sz val="11"/>
      <name val="Times New Roman"/>
      <family val="1"/>
    </font>
    <font>
      <b/>
      <u val="singleAccounting"/>
      <sz val="11"/>
      <name val="Times New Roman"/>
      <family val="1"/>
    </font>
    <font>
      <sz val="11"/>
      <name val="Courier"/>
      <family val="3"/>
    </font>
    <font>
      <b/>
      <u val="singleAccounting"/>
      <sz val="11"/>
      <name val="Garamond"/>
      <family val="1"/>
    </font>
    <font>
      <b/>
      <sz val="11"/>
      <name val="Garamond"/>
      <family val="1"/>
    </font>
    <font>
      <b/>
      <sz val="11"/>
      <name val="Times New Roman"/>
      <family val="1"/>
    </font>
    <font>
      <u val="doubleAccounting"/>
      <sz val="11"/>
      <name val="Times New Roman"/>
      <family val="1"/>
    </font>
    <font>
      <u val="double"/>
      <sz val="11"/>
      <name val="Times New Roman"/>
      <family val="1"/>
    </font>
    <font>
      <vertAlign val="superscript"/>
      <sz val="8"/>
      <name val="Arial"/>
      <family val="2"/>
    </font>
  </fonts>
  <fills count="29">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0"/>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2">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37" fontId="137" fillId="0" borderId="0"/>
    <xf numFmtId="37" fontId="138" fillId="0" borderId="0" applyProtection="0"/>
    <xf numFmtId="43" fontId="43" fillId="0" borderId="0" applyFont="0" applyFill="0" applyBorder="0" applyAlignment="0" applyProtection="0"/>
  </cellStyleXfs>
  <cellXfs count="2640">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3" fillId="0" borderId="148" xfId="3" applyFont="1" applyBorder="1" applyAlignment="1" applyProtection="1">
      <alignment horizontal="center"/>
      <protection locked="0"/>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 fillId="0" borderId="158" xfId="17" applyFont="1" applyBorder="1" applyAlignment="1" applyProtection="1">
      <alignment horizontal="left" vertical="top" wrapText="1"/>
      <protection locked="0"/>
    </xf>
    <xf numFmtId="37" fontId="43" fillId="0" borderId="0" xfId="19" applyFont="1" applyFill="1" applyAlignment="1">
      <alignment horizontal="center" vertical="center"/>
    </xf>
    <xf numFmtId="37" fontId="137" fillId="0" borderId="0" xfId="19" applyFill="1" applyAlignment="1">
      <alignment vertical="center"/>
    </xf>
    <xf numFmtId="37" fontId="137" fillId="0" borderId="0" xfId="19" applyFill="1" applyAlignment="1">
      <alignment horizontal="center" vertical="center"/>
    </xf>
    <xf numFmtId="37" fontId="137" fillId="0" borderId="0" xfId="19" applyFill="1" applyBorder="1" applyAlignment="1">
      <alignment vertical="center"/>
    </xf>
    <xf numFmtId="37" fontId="137" fillId="0" borderId="0" xfId="19" applyFill="1" applyBorder="1" applyAlignment="1">
      <alignment horizontal="center" vertical="center"/>
    </xf>
    <xf numFmtId="37" fontId="137" fillId="0" borderId="0" xfId="19" applyFill="1"/>
    <xf numFmtId="37" fontId="138" fillId="0" borderId="0" xfId="20" applyFill="1" applyAlignment="1">
      <alignment vertical="center"/>
    </xf>
    <xf numFmtId="37" fontId="43" fillId="0" borderId="0" xfId="19" quotePrefix="1" applyFont="1" applyFill="1" applyBorder="1" applyAlignment="1">
      <alignment horizontal="center" vertical="center"/>
    </xf>
    <xf numFmtId="37" fontId="43" fillId="0" borderId="0" xfId="20" applyFont="1" applyFill="1" applyBorder="1" applyAlignment="1">
      <alignment vertical="center"/>
    </xf>
    <xf numFmtId="37" fontId="43" fillId="0" borderId="0" xfId="19" applyFont="1" applyFill="1" applyBorder="1" applyAlignment="1">
      <alignment vertical="center"/>
    </xf>
    <xf numFmtId="37" fontId="43" fillId="0" borderId="0" xfId="19" applyFont="1" applyFill="1" applyBorder="1" applyAlignment="1">
      <alignment horizontal="centerContinuous" vertical="center"/>
    </xf>
    <xf numFmtId="37" fontId="43" fillId="0" borderId="0" xfId="19" applyFont="1" applyFill="1" applyBorder="1" applyAlignment="1">
      <alignment horizontal="left" vertical="center"/>
    </xf>
    <xf numFmtId="37" fontId="43" fillId="0" borderId="0" xfId="19" applyFont="1" applyFill="1" applyBorder="1" applyAlignment="1">
      <alignment horizontal="center" vertical="center"/>
    </xf>
    <xf numFmtId="37" fontId="142" fillId="0" borderId="0" xfId="19" applyFont="1" applyFill="1" applyBorder="1" applyAlignment="1">
      <alignment horizontal="center" vertical="center"/>
    </xf>
    <xf numFmtId="37" fontId="142" fillId="0" borderId="0" xfId="19" applyFont="1" applyFill="1" applyBorder="1" applyAlignment="1">
      <alignment horizontal="left" vertical="center"/>
    </xf>
    <xf numFmtId="37" fontId="142" fillId="0" borderId="0" xfId="19" applyFont="1" applyFill="1" applyBorder="1" applyAlignment="1">
      <alignment vertical="center"/>
    </xf>
    <xf numFmtId="37" fontId="143" fillId="0" borderId="0" xfId="19" applyFont="1" applyFill="1" applyBorder="1" applyAlignment="1">
      <alignment horizontal="centerContinuous" vertical="center"/>
    </xf>
    <xf numFmtId="37" fontId="146" fillId="0" borderId="0" xfId="19" applyFont="1" applyFill="1" applyAlignment="1">
      <alignment vertical="center"/>
    </xf>
    <xf numFmtId="37" fontId="142" fillId="0" borderId="0" xfId="19" applyFont="1" applyFill="1" applyAlignment="1">
      <alignment horizontal="center" vertical="center"/>
    </xf>
    <xf numFmtId="37" fontId="142" fillId="0" borderId="0" xfId="19" applyFont="1" applyFill="1" applyAlignment="1">
      <alignment horizontal="left" vertical="center"/>
    </xf>
    <xf numFmtId="37" fontId="142" fillId="0" borderId="0" xfId="19" applyFont="1" applyFill="1" applyAlignment="1">
      <alignment vertical="center"/>
    </xf>
    <xf numFmtId="37" fontId="142" fillId="0" borderId="0" xfId="19" quotePrefix="1" applyFont="1" applyFill="1" applyAlignment="1">
      <alignment horizontal="center" vertical="center"/>
    </xf>
    <xf numFmtId="14" fontId="142" fillId="0" borderId="0" xfId="19" quotePrefix="1" applyNumberFormat="1" applyFont="1" applyFill="1" applyAlignment="1">
      <alignment horizontal="center" vertical="center"/>
    </xf>
    <xf numFmtId="37" fontId="143" fillId="0" borderId="0" xfId="19" quotePrefix="1" applyFont="1" applyFill="1" applyAlignment="1">
      <alignment horizontal="left" vertical="center"/>
    </xf>
    <xf numFmtId="37" fontId="143" fillId="0" borderId="0" xfId="19" applyFont="1" applyFill="1" applyAlignment="1">
      <alignment horizontal="center" vertical="center"/>
    </xf>
    <xf numFmtId="37" fontId="143" fillId="0" borderId="0" xfId="19" applyNumberFormat="1" applyFont="1" applyFill="1" applyAlignment="1" applyProtection="1">
      <alignment horizontal="center" vertical="center"/>
    </xf>
    <xf numFmtId="37" fontId="142" fillId="0" borderId="0" xfId="19" applyNumberFormat="1" applyFont="1" applyFill="1" applyAlignment="1" applyProtection="1">
      <alignment vertical="center"/>
    </xf>
    <xf numFmtId="37" fontId="142" fillId="0" borderId="0" xfId="19" applyNumberFormat="1" applyFont="1" applyFill="1" applyAlignment="1" applyProtection="1">
      <alignment horizontal="center" vertical="center"/>
    </xf>
    <xf numFmtId="37" fontId="143" fillId="0" borderId="0" xfId="19" applyFont="1" applyFill="1" applyAlignment="1">
      <alignment horizontal="left" vertical="center"/>
    </xf>
    <xf numFmtId="37" fontId="149" fillId="0" borderId="0" xfId="19" applyFont="1" applyFill="1" applyAlignment="1">
      <alignment horizontal="left" vertical="center"/>
    </xf>
    <xf numFmtId="182" fontId="142" fillId="0" borderId="0" xfId="19" applyNumberFormat="1" applyFont="1" applyFill="1" applyAlignment="1" applyProtection="1">
      <alignment horizontal="center" vertical="center"/>
    </xf>
    <xf numFmtId="37" fontId="142" fillId="28" borderId="0" xfId="19" applyNumberFormat="1" applyFont="1" applyFill="1" applyAlignment="1" applyProtection="1">
      <alignment horizontal="right" vertical="center"/>
    </xf>
    <xf numFmtId="37" fontId="142" fillId="28" borderId="0" xfId="19" applyNumberFormat="1" applyFont="1" applyFill="1" applyAlignment="1" applyProtection="1">
      <alignment horizontal="center" vertical="center"/>
    </xf>
    <xf numFmtId="181" fontId="142" fillId="0" borderId="0" xfId="19" applyNumberFormat="1" applyFont="1" applyFill="1" applyBorder="1" applyAlignment="1">
      <alignment vertical="center"/>
    </xf>
    <xf numFmtId="37" fontId="142" fillId="0" borderId="0" xfId="19" applyNumberFormat="1" applyFont="1" applyFill="1" applyAlignment="1" applyProtection="1">
      <alignment horizontal="right" vertical="center"/>
    </xf>
    <xf numFmtId="181" fontId="142" fillId="0" borderId="0" xfId="19" applyNumberFormat="1" applyFont="1" applyFill="1" applyBorder="1" applyAlignment="1" applyProtection="1">
      <alignment vertical="center"/>
    </xf>
    <xf numFmtId="37" fontId="142" fillId="0" borderId="0" xfId="19" applyNumberFormat="1" applyFont="1" applyFill="1" applyBorder="1" applyAlignment="1" applyProtection="1">
      <alignment horizontal="right" vertical="center"/>
    </xf>
    <xf numFmtId="181" fontId="142" fillId="0" borderId="78" xfId="19" applyNumberFormat="1" applyFont="1" applyFill="1" applyBorder="1" applyAlignment="1">
      <alignment vertical="center"/>
    </xf>
    <xf numFmtId="37" fontId="142" fillId="28" borderId="78" xfId="19" applyNumberFormat="1" applyFont="1" applyFill="1" applyBorder="1" applyAlignment="1" applyProtection="1">
      <alignment horizontal="right" vertical="center"/>
    </xf>
    <xf numFmtId="181" fontId="142" fillId="0" borderId="0" xfId="19" applyNumberFormat="1" applyFont="1" applyFill="1" applyAlignment="1">
      <alignment vertical="center"/>
    </xf>
    <xf numFmtId="181" fontId="142" fillId="0" borderId="0" xfId="19" applyNumberFormat="1" applyFont="1" applyFill="1" applyAlignment="1">
      <alignment horizontal="center" vertical="center"/>
    </xf>
    <xf numFmtId="181" fontId="142" fillId="0" borderId="0" xfId="19" applyNumberFormat="1" applyFont="1" applyFill="1" applyAlignment="1" applyProtection="1">
      <alignment vertical="center"/>
    </xf>
    <xf numFmtId="181" fontId="142" fillId="28" borderId="0" xfId="19" applyNumberFormat="1" applyFont="1" applyFill="1" applyAlignment="1">
      <alignment vertical="center"/>
    </xf>
    <xf numFmtId="181" fontId="142" fillId="28" borderId="0" xfId="19" applyNumberFormat="1" applyFont="1" applyFill="1" applyAlignment="1">
      <alignment horizontal="center" vertical="center"/>
    </xf>
    <xf numFmtId="37" fontId="142" fillId="0" borderId="0" xfId="19" applyFont="1" applyFill="1" applyAlignment="1">
      <alignment horizontal="right" vertical="center"/>
    </xf>
    <xf numFmtId="37" fontId="146" fillId="28" borderId="0" xfId="19" applyFont="1" applyFill="1" applyAlignment="1">
      <alignment vertical="center"/>
    </xf>
    <xf numFmtId="181" fontId="142" fillId="28" borderId="0" xfId="19" applyNumberFormat="1" applyFont="1" applyFill="1" applyAlignment="1" applyProtection="1">
      <alignment vertical="center"/>
    </xf>
    <xf numFmtId="183" fontId="142" fillId="28" borderId="0" xfId="19" applyNumberFormat="1" applyFont="1" applyFill="1" applyAlignment="1" applyProtection="1">
      <alignment vertical="center"/>
    </xf>
    <xf numFmtId="37" fontId="142" fillId="0" borderId="0" xfId="19" quotePrefix="1" applyFont="1" applyFill="1" applyAlignment="1">
      <alignment horizontal="left" vertical="center"/>
    </xf>
    <xf numFmtId="181" fontId="142" fillId="0" borderId="0" xfId="19" quotePrefix="1" applyNumberFormat="1" applyFont="1" applyFill="1" applyAlignment="1" applyProtection="1">
      <alignment horizontal="center" vertical="center"/>
    </xf>
    <xf numFmtId="183" fontId="142" fillId="0" borderId="0" xfId="19" applyNumberFormat="1" applyFont="1" applyFill="1" applyAlignment="1" applyProtection="1">
      <alignment vertical="center"/>
    </xf>
    <xf numFmtId="181" fontId="144" fillId="0" borderId="0" xfId="19" applyNumberFormat="1" applyFont="1" applyFill="1" applyAlignment="1">
      <alignment vertical="center"/>
    </xf>
    <xf numFmtId="181" fontId="144" fillId="28" borderId="0" xfId="19" applyNumberFormat="1" applyFont="1" applyFill="1" applyAlignment="1">
      <alignment vertical="center"/>
    </xf>
    <xf numFmtId="181" fontId="144" fillId="21" borderId="0" xfId="19" applyNumberFormat="1" applyFont="1" applyFill="1" applyAlignment="1">
      <alignment vertical="center"/>
    </xf>
    <xf numFmtId="181" fontId="142" fillId="0" borderId="0" xfId="19" quotePrefix="1" applyNumberFormat="1" applyFont="1" applyFill="1" applyAlignment="1">
      <alignment horizontal="left" vertical="center"/>
    </xf>
    <xf numFmtId="183" fontId="144" fillId="0" borderId="0" xfId="19" applyNumberFormat="1" applyFont="1" applyFill="1" applyAlignment="1" applyProtection="1">
      <alignment vertical="center"/>
    </xf>
    <xf numFmtId="181" fontId="144" fillId="21" borderId="0" xfId="19" applyNumberFormat="1" applyFont="1" applyFill="1" applyAlignment="1">
      <alignment horizontal="center" vertical="center"/>
    </xf>
    <xf numFmtId="181" fontId="144" fillId="0" borderId="0" xfId="19" applyNumberFormat="1" applyFont="1" applyFill="1" applyAlignment="1" applyProtection="1">
      <alignment horizontal="left" vertical="center"/>
    </xf>
    <xf numFmtId="181" fontId="142" fillId="0" borderId="0" xfId="19" applyNumberFormat="1" applyFont="1" applyFill="1" applyAlignment="1" applyProtection="1">
      <alignment horizontal="left" vertical="center"/>
    </xf>
    <xf numFmtId="181" fontId="144" fillId="0" borderId="0" xfId="19" applyNumberFormat="1" applyFont="1" applyFill="1" applyAlignment="1" applyProtection="1">
      <alignment horizontal="center" vertical="center"/>
    </xf>
    <xf numFmtId="181" fontId="144" fillId="0" borderId="0" xfId="19" applyNumberFormat="1" applyFont="1" applyFill="1" applyAlignment="1">
      <alignment horizontal="center" vertical="center"/>
    </xf>
    <xf numFmtId="37" fontId="149" fillId="0" borderId="0" xfId="19" applyFont="1" applyFill="1" applyAlignment="1">
      <alignment vertical="center"/>
    </xf>
    <xf numFmtId="43" fontId="144" fillId="0" borderId="0" xfId="21" applyFont="1" applyFill="1" applyAlignment="1" applyProtection="1">
      <alignment vertical="center"/>
    </xf>
    <xf numFmtId="181" fontId="142" fillId="0" borderId="0" xfId="19" applyNumberFormat="1" applyFont="1" applyFill="1" applyAlignment="1" applyProtection="1">
      <alignment horizontal="center" vertical="center"/>
    </xf>
    <xf numFmtId="37" fontId="146" fillId="0" borderId="0" xfId="19" applyFont="1" applyFill="1" applyAlignment="1">
      <alignment horizontal="center" vertical="center"/>
    </xf>
    <xf numFmtId="43" fontId="142" fillId="0" borderId="0" xfId="21" applyFont="1" applyFill="1" applyAlignment="1">
      <alignment horizontal="center" vertical="center"/>
    </xf>
    <xf numFmtId="43" fontId="142" fillId="0" borderId="0" xfId="19" applyNumberFormat="1" applyFont="1" applyFill="1" applyBorder="1" applyAlignment="1" applyProtection="1">
      <alignment vertical="center"/>
    </xf>
    <xf numFmtId="43" fontId="144" fillId="0" borderId="0" xfId="19" applyNumberFormat="1" applyFont="1" applyFill="1" applyAlignment="1" applyProtection="1">
      <alignment vertical="center"/>
    </xf>
    <xf numFmtId="183" fontId="144" fillId="0" borderId="0" xfId="19" applyNumberFormat="1" applyFont="1" applyFill="1" applyBorder="1" applyAlignment="1" applyProtection="1">
      <alignment vertical="center"/>
    </xf>
    <xf numFmtId="181" fontId="144" fillId="0" borderId="0" xfId="19" applyNumberFormat="1" applyFont="1" applyFill="1" applyBorder="1" applyAlignment="1">
      <alignment vertical="center"/>
    </xf>
    <xf numFmtId="182" fontId="142" fillId="0" borderId="0" xfId="19" applyNumberFormat="1" applyFont="1" applyFill="1" applyAlignment="1" applyProtection="1">
      <alignment vertical="center"/>
    </xf>
    <xf numFmtId="183" fontId="150" fillId="0" borderId="0" xfId="19" applyNumberFormat="1" applyFont="1" applyFill="1" applyAlignment="1" applyProtection="1">
      <alignment vertical="center"/>
    </xf>
    <xf numFmtId="181" fontId="142" fillId="0" borderId="0" xfId="19" applyNumberFormat="1" applyFont="1" applyFill="1" applyAlignment="1">
      <alignment horizontal="left" vertical="center"/>
    </xf>
    <xf numFmtId="181" fontId="146" fillId="0" borderId="0" xfId="19" applyNumberFormat="1" applyFont="1" applyFill="1" applyAlignment="1">
      <alignment vertical="center"/>
    </xf>
    <xf numFmtId="181" fontId="146" fillId="0" borderId="0" xfId="19" applyNumberFormat="1" applyFont="1" applyFill="1" applyAlignment="1">
      <alignment horizontal="center" vertical="center"/>
    </xf>
    <xf numFmtId="43" fontId="146" fillId="0" borderId="0" xfId="21" applyFont="1" applyFill="1" applyAlignment="1">
      <alignment vertical="center"/>
    </xf>
    <xf numFmtId="37" fontId="142" fillId="21" borderId="0" xfId="19" applyFont="1" applyFill="1" applyAlignment="1">
      <alignment vertical="center"/>
    </xf>
    <xf numFmtId="182" fontId="146" fillId="21" borderId="0" xfId="19" applyNumberFormat="1" applyFont="1" applyFill="1" applyAlignment="1" applyProtection="1">
      <alignment vertical="center"/>
    </xf>
    <xf numFmtId="182" fontId="146" fillId="0" borderId="0" xfId="19" applyNumberFormat="1" applyFont="1" applyFill="1" applyAlignment="1" applyProtection="1">
      <alignment vertical="center"/>
    </xf>
    <xf numFmtId="182" fontId="137" fillId="0" borderId="0" xfId="19" applyNumberFormat="1" applyFill="1" applyAlignment="1" applyProtection="1">
      <alignment vertical="center"/>
    </xf>
    <xf numFmtId="181" fontId="137" fillId="0" borderId="0" xfId="19" applyNumberFormat="1" applyFill="1" applyAlignment="1">
      <alignment vertical="center"/>
    </xf>
    <xf numFmtId="181" fontId="137" fillId="0" borderId="0" xfId="19" applyNumberFormat="1" applyFill="1" applyAlignment="1">
      <alignment horizontal="center" vertical="center"/>
    </xf>
    <xf numFmtId="37" fontId="43" fillId="0" borderId="78" xfId="19" applyFont="1" applyFill="1" applyBorder="1" applyAlignment="1">
      <alignment horizontal="center" vertical="center"/>
    </xf>
    <xf numFmtId="37" fontId="137" fillId="0" borderId="78" xfId="19" applyFill="1" applyBorder="1" applyAlignment="1">
      <alignment vertical="center"/>
    </xf>
    <xf numFmtId="182" fontId="137" fillId="0" borderId="78" xfId="19" applyNumberFormat="1" applyFill="1" applyBorder="1" applyAlignment="1" applyProtection="1">
      <alignment vertical="center"/>
    </xf>
    <xf numFmtId="37" fontId="137" fillId="0" borderId="78" xfId="19" applyFill="1" applyBorder="1" applyAlignment="1">
      <alignment horizontal="center" vertical="center"/>
    </xf>
    <xf numFmtId="181" fontId="137" fillId="0" borderId="78" xfId="19" applyNumberFormat="1" applyFill="1" applyBorder="1" applyAlignment="1">
      <alignment vertical="center"/>
    </xf>
    <xf numFmtId="181" fontId="137" fillId="0" borderId="78" xfId="19" applyNumberFormat="1" applyFill="1" applyBorder="1" applyAlignment="1">
      <alignment horizontal="center" vertical="center"/>
    </xf>
    <xf numFmtId="37" fontId="137" fillId="0" borderId="0" xfId="19" applyFill="1" applyAlignment="1" applyProtection="1">
      <alignment horizontal="left"/>
    </xf>
    <xf numFmtId="37" fontId="137" fillId="0" borderId="0" xfId="19" applyFill="1" applyAlignment="1" applyProtection="1">
      <alignment horizontal="center"/>
    </xf>
    <xf numFmtId="37" fontId="9" fillId="0" borderId="0" xfId="19" applyFont="1" applyFill="1" applyAlignment="1" applyProtection="1"/>
    <xf numFmtId="37" fontId="152" fillId="0" borderId="0" xfId="19" applyFont="1" applyFill="1" applyAlignment="1" applyProtection="1">
      <alignment horizontal="left"/>
    </xf>
    <xf numFmtId="169" fontId="9" fillId="0" borderId="0" xfId="19" applyNumberFormat="1" applyFont="1" applyFill="1" applyAlignment="1" applyProtection="1">
      <alignment horizontal="left"/>
    </xf>
    <xf numFmtId="1" fontId="9" fillId="0" borderId="0" xfId="19" applyNumberFormat="1" applyFont="1" applyFill="1" applyAlignment="1" applyProtection="1">
      <alignment horizontal="left"/>
    </xf>
    <xf numFmtId="37" fontId="9" fillId="0" borderId="0" xfId="19" applyFont="1" applyFill="1" applyAlignment="1" applyProtection="1">
      <alignment horizontal="left"/>
    </xf>
    <xf numFmtId="169" fontId="137" fillId="0" borderId="0" xfId="19" applyNumberFormat="1" applyFill="1" applyAlignment="1" applyProtection="1">
      <alignment horizontal="left"/>
    </xf>
    <xf numFmtId="1" fontId="137" fillId="0" borderId="0" xfId="19" applyNumberFormat="1" applyFill="1" applyAlignment="1" applyProtection="1">
      <alignment horizontal="left"/>
    </xf>
    <xf numFmtId="37" fontId="137" fillId="0" borderId="0" xfId="19" applyFill="1" applyProtection="1">
      <protection locked="0"/>
    </xf>
    <xf numFmtId="169" fontId="137" fillId="0" borderId="0" xfId="19" applyNumberFormat="1" applyFill="1" applyProtection="1">
      <protection locked="0"/>
    </xf>
    <xf numFmtId="1" fontId="137" fillId="0" borderId="0" xfId="19" applyNumberFormat="1" applyFill="1" applyProtection="1">
      <protection locked="0"/>
    </xf>
    <xf numFmtId="37" fontId="137" fillId="0" borderId="0" xfId="19" applyFill="1" applyAlignment="1" applyProtection="1">
      <alignment horizontal="center"/>
      <protection locked="0"/>
    </xf>
    <xf numFmtId="37" fontId="11" fillId="0" borderId="0" xfId="19" applyFont="1" applyFill="1" applyAlignment="1">
      <alignment vertical="center"/>
    </xf>
    <xf numFmtId="37" fontId="138" fillId="0" borderId="0" xfId="20" applyFill="1" applyBorder="1" applyAlignment="1">
      <alignment vertical="center"/>
    </xf>
    <xf numFmtId="14" fontId="148" fillId="0" borderId="0" xfId="19" applyNumberFormat="1" applyFont="1" applyFill="1" applyBorder="1" applyAlignment="1">
      <alignment horizontal="center"/>
    </xf>
    <xf numFmtId="37" fontId="142" fillId="0" borderId="0" xfId="20" applyFont="1" applyFill="1" applyBorder="1" applyAlignment="1">
      <alignment horizontal="center" vertical="center"/>
    </xf>
    <xf numFmtId="37" fontId="148" fillId="0" borderId="0" xfId="19" applyFont="1" applyFill="1" applyBorder="1" applyAlignment="1">
      <alignment horizontal="center"/>
    </xf>
    <xf numFmtId="37" fontId="143" fillId="0" borderId="0" xfId="20" applyNumberFormat="1" applyFont="1" applyFill="1" applyBorder="1" applyAlignment="1" applyProtection="1">
      <alignment horizontal="center" vertical="center"/>
    </xf>
    <xf numFmtId="43" fontId="147" fillId="0" borderId="0" xfId="21" applyFont="1" applyFill="1" applyBorder="1" applyAlignment="1">
      <alignment horizontal="center"/>
    </xf>
    <xf numFmtId="37" fontId="142" fillId="0" borderId="0" xfId="20" applyFont="1" applyFill="1" applyBorder="1" applyAlignment="1">
      <alignment vertical="center"/>
    </xf>
    <xf numFmtId="181" fontId="142" fillId="0" borderId="0" xfId="20" applyNumberFormat="1" applyFont="1" applyFill="1" applyBorder="1" applyAlignment="1" applyProtection="1">
      <alignment horizontal="right" vertical="center"/>
    </xf>
    <xf numFmtId="181" fontId="142" fillId="0" borderId="0" xfId="20" applyNumberFormat="1" applyFont="1" applyFill="1" applyBorder="1" applyAlignment="1" applyProtection="1">
      <alignment horizontal="center" vertical="center"/>
    </xf>
    <xf numFmtId="37" fontId="142" fillId="0" borderId="0" xfId="19" applyFont="1" applyFill="1" applyBorder="1" applyAlignment="1">
      <alignment horizontal="center"/>
    </xf>
    <xf numFmtId="181" fontId="142" fillId="0" borderId="0" xfId="20" applyNumberFormat="1" applyFont="1" applyFill="1" applyBorder="1" applyAlignment="1">
      <alignment horizontal="center" vertical="center"/>
    </xf>
    <xf numFmtId="37" fontId="146" fillId="0" borderId="0" xfId="20" applyFont="1" applyFill="1" applyBorder="1" applyAlignment="1">
      <alignment horizontal="center" vertical="center"/>
    </xf>
    <xf numFmtId="181" fontId="146" fillId="0" borderId="0" xfId="20" applyNumberFormat="1" applyFont="1" applyFill="1" applyBorder="1" applyAlignment="1">
      <alignment horizontal="center" vertical="center"/>
    </xf>
    <xf numFmtId="10" fontId="151" fillId="0" borderId="0" xfId="19" applyNumberFormat="1" applyFont="1" applyFill="1" applyBorder="1" applyAlignment="1">
      <alignment horizontal="center" vertical="center"/>
    </xf>
    <xf numFmtId="37" fontId="146" fillId="0" borderId="0" xfId="19" applyFont="1" applyFill="1" applyBorder="1" applyAlignment="1">
      <alignment vertical="center"/>
    </xf>
    <xf numFmtId="37" fontId="146" fillId="0" borderId="0" xfId="19" applyFont="1" applyFill="1" applyBorder="1" applyAlignment="1">
      <alignment horizontal="center" vertical="center"/>
    </xf>
    <xf numFmtId="37" fontId="141" fillId="0" borderId="0" xfId="19" applyFont="1" applyFill="1" applyBorder="1" applyAlignment="1">
      <alignment horizontal="center"/>
    </xf>
    <xf numFmtId="43" fontId="145" fillId="0" borderId="0" xfId="21" applyFont="1" applyFill="1" applyBorder="1" applyAlignment="1">
      <alignment horizontal="center"/>
    </xf>
    <xf numFmtId="37" fontId="142" fillId="0" borderId="0" xfId="20" applyFont="1" applyFill="1" applyBorder="1" applyAlignment="1">
      <alignment horizontal="left" vertical="center"/>
    </xf>
    <xf numFmtId="37" fontId="149" fillId="0" borderId="0" xfId="19" applyFont="1" applyFill="1" applyBorder="1" applyAlignment="1">
      <alignment horizontal="center"/>
    </xf>
    <xf numFmtId="14" fontId="145" fillId="0" borderId="0" xfId="21" applyNumberFormat="1" applyFont="1" applyFill="1" applyBorder="1" applyAlignment="1">
      <alignment horizontal="center"/>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136" fillId="0" borderId="50" xfId="3" applyNumberFormat="1" applyFont="1" applyBorder="1" applyAlignment="1" applyProtection="1">
      <alignment horizontal="left" indent="1"/>
    </xf>
    <xf numFmtId="0" fontId="136" fillId="0" borderId="9" xfId="3" applyNumberFormat="1" applyFont="1" applyBorder="1" applyAlignment="1" applyProtection="1">
      <alignment horizontal="left" indent="1"/>
    </xf>
    <xf numFmtId="0" fontId="136" fillId="0" borderId="59" xfId="3" applyNumberFormat="1"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41" fontId="144" fillId="0" borderId="0" xfId="20" applyNumberFormat="1" applyFont="1" applyFill="1" applyBorder="1" applyAlignment="1">
      <alignment horizontal="center" vertical="center"/>
    </xf>
    <xf numFmtId="14" fontId="147" fillId="0" borderId="0" xfId="19" applyNumberFormat="1" applyFont="1" applyFill="1" applyBorder="1" applyAlignment="1">
      <alignment horizontal="center"/>
    </xf>
    <xf numFmtId="37" fontId="149" fillId="0" borderId="0" xfId="19" applyFont="1" applyFill="1" applyAlignment="1">
      <alignment horizontal="left" vertical="center"/>
    </xf>
    <xf numFmtId="37" fontId="152" fillId="0" borderId="0" xfId="19" applyFont="1" applyFill="1" applyAlignment="1" applyProtection="1">
      <alignment horizontal="left" wrapText="1"/>
    </xf>
    <xf numFmtId="37" fontId="9" fillId="0" borderId="0" xfId="19" applyFont="1" applyFill="1" applyAlignment="1" applyProtection="1">
      <alignment horizontal="left" wrapText="1"/>
    </xf>
    <xf numFmtId="37" fontId="139" fillId="0" borderId="0" xfId="19" applyFont="1" applyFill="1" applyAlignment="1">
      <alignment horizontal="center" vertical="center"/>
    </xf>
    <xf numFmtId="0" fontId="140" fillId="0" borderId="0" xfId="19" applyNumberFormat="1" applyFont="1" applyFill="1" applyAlignment="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3" fillId="0" borderId="0" xfId="3" applyFont="1" applyBorder="1" applyAlignment="1" applyProtection="1">
      <alignment vertical="top" wrapText="1"/>
    </xf>
    <xf numFmtId="0" fontId="0" fillId="0" borderId="0" xfId="0" applyAlignment="1">
      <alignmen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2">
    <cellStyle name="Comma" xfId="1" builtinId="3"/>
    <cellStyle name="Comma 2" xfId="21"/>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Federal" xfId="20"/>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xdr:row>
          <xdr:rowOff>0</xdr:rowOff>
        </xdr:from>
        <xdr:to>
          <xdr:col>5</xdr:col>
          <xdr:colOff>304800</xdr:colOff>
          <xdr:row>5</xdr:row>
          <xdr:rowOff>38100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126" t="s">
        <v>425</v>
      </c>
      <c r="J1" s="2127"/>
      <c r="K1" s="2127"/>
      <c r="L1" s="2127"/>
      <c r="M1" s="2127"/>
      <c r="N1" s="2127"/>
      <c r="O1" s="2127"/>
      <c r="P1" s="2127"/>
      <c r="Q1" s="2127"/>
      <c r="R1" s="2127"/>
      <c r="S1" s="2127"/>
    </row>
    <row r="2" spans="1:28" ht="12" customHeight="1" x14ac:dyDescent="0.2">
      <c r="A2" s="47" t="s">
        <v>1684</v>
      </c>
      <c r="D2" s="48"/>
      <c r="I2" s="2128" t="s">
        <v>1036</v>
      </c>
      <c r="J2" s="2127"/>
      <c r="K2" s="2127"/>
      <c r="L2" s="2127"/>
      <c r="M2" s="2127"/>
      <c r="N2" s="2127"/>
      <c r="O2" s="2127"/>
      <c r="P2" s="2127"/>
      <c r="Q2" s="2127"/>
      <c r="R2" s="2127"/>
      <c r="S2" s="2127"/>
    </row>
    <row r="3" spans="1:28" ht="12" customHeight="1" x14ac:dyDescent="0.2">
      <c r="A3" s="155" t="s">
        <v>1685</v>
      </c>
      <c r="B3" s="156"/>
      <c r="C3" s="156"/>
      <c r="D3" s="157"/>
      <c r="I3" s="2128" t="s">
        <v>54</v>
      </c>
      <c r="J3" s="2127"/>
      <c r="K3" s="2127"/>
      <c r="L3" s="2127"/>
      <c r="M3" s="2127"/>
      <c r="N3" s="2127"/>
      <c r="O3" s="2127"/>
      <c r="P3" s="2127"/>
      <c r="Q3" s="2127"/>
      <c r="R3" s="2127"/>
      <c r="S3" s="2127"/>
    </row>
    <row r="4" spans="1:28" ht="12" customHeight="1" x14ac:dyDescent="0.2">
      <c r="A4" s="37"/>
      <c r="I4" s="2128" t="s">
        <v>545</v>
      </c>
      <c r="J4" s="2127"/>
      <c r="K4" s="2127"/>
      <c r="L4" s="2127"/>
      <c r="M4" s="2127"/>
      <c r="N4" s="2127"/>
      <c r="O4" s="2127"/>
      <c r="P4" s="2127"/>
      <c r="Q4" s="2127"/>
      <c r="R4" s="2127"/>
      <c r="S4" s="2127"/>
    </row>
    <row r="5" spans="1:28" ht="14.1" customHeight="1" x14ac:dyDescent="0.2">
      <c r="B5" s="104"/>
      <c r="C5" s="26" t="s">
        <v>966</v>
      </c>
      <c r="D5" s="84"/>
      <c r="E5" s="84"/>
      <c r="H5" s="38"/>
      <c r="I5" s="2136" t="s">
        <v>701</v>
      </c>
      <c r="J5" s="2135"/>
      <c r="K5" s="2135"/>
      <c r="L5" s="2135"/>
      <c r="M5" s="2135"/>
      <c r="N5" s="2135"/>
      <c r="O5" s="2135"/>
      <c r="P5" s="2135"/>
      <c r="Q5" s="2135"/>
      <c r="R5" s="2135"/>
      <c r="S5" s="2135"/>
    </row>
    <row r="6" spans="1:28" ht="14.1" customHeight="1" x14ac:dyDescent="0.2">
      <c r="B6" s="104" t="s">
        <v>2074</v>
      </c>
      <c r="C6" s="26" t="s">
        <v>967</v>
      </c>
      <c r="D6" s="84"/>
      <c r="E6" s="84"/>
      <c r="I6" s="2134" t="s">
        <v>938</v>
      </c>
      <c r="J6" s="2135"/>
      <c r="K6" s="2135"/>
      <c r="L6" s="2135"/>
      <c r="M6" s="2135"/>
      <c r="N6" s="2135"/>
      <c r="O6" s="2135"/>
      <c r="P6" s="2135"/>
      <c r="Q6" s="2135"/>
      <c r="R6" s="2135"/>
      <c r="S6" s="2135"/>
    </row>
    <row r="7" spans="1:28" ht="12.2" customHeight="1" x14ac:dyDescent="0.2">
      <c r="I7" s="2129">
        <v>43281</v>
      </c>
      <c r="J7" s="2130"/>
      <c r="K7" s="2130"/>
      <c r="L7" s="2130"/>
      <c r="M7" s="2130"/>
      <c r="N7" s="2130"/>
      <c r="O7" s="2130"/>
      <c r="P7" s="2130"/>
      <c r="Q7" s="2130"/>
      <c r="R7" s="2130"/>
      <c r="S7" s="213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31" t="s">
        <v>695</v>
      </c>
      <c r="J9" s="2132"/>
      <c r="K9" s="2132"/>
      <c r="L9" s="2132"/>
      <c r="M9" s="2132"/>
      <c r="N9" s="2132"/>
      <c r="O9" s="2132"/>
      <c r="P9" s="2132"/>
      <c r="Q9" s="2132"/>
      <c r="R9" s="2132"/>
      <c r="S9" s="2133"/>
      <c r="T9" s="2147" t="s">
        <v>554</v>
      </c>
      <c r="U9" s="2148"/>
      <c r="V9" s="2148"/>
      <c r="W9" s="2148"/>
      <c r="X9" s="2148"/>
      <c r="Y9" s="2148"/>
      <c r="Z9" s="2148"/>
      <c r="AA9" s="2149"/>
    </row>
    <row r="10" spans="1:28" ht="13.5" customHeight="1" x14ac:dyDescent="0.2">
      <c r="A10" s="2154" t="s">
        <v>696</v>
      </c>
      <c r="B10" s="2155"/>
      <c r="C10" s="2155"/>
      <c r="D10" s="2155"/>
      <c r="E10" s="2155"/>
      <c r="F10" s="2155"/>
      <c r="G10" s="2155"/>
      <c r="H10" s="2156"/>
      <c r="I10" s="29"/>
      <c r="J10" s="30"/>
      <c r="K10" s="28"/>
      <c r="R10" s="30"/>
      <c r="S10" s="30"/>
      <c r="T10" s="2150"/>
      <c r="U10" s="2135"/>
      <c r="V10" s="2135"/>
      <c r="W10" s="2135"/>
      <c r="X10" s="2135"/>
      <c r="Y10" s="2135"/>
      <c r="Z10" s="2135"/>
      <c r="AA10" s="2141"/>
    </row>
    <row r="11" spans="1:28" ht="14.25" customHeight="1" x14ac:dyDescent="0.2">
      <c r="A11" s="2157" t="s">
        <v>1012</v>
      </c>
      <c r="B11" s="2158"/>
      <c r="C11" s="2158"/>
      <c r="D11" s="2158"/>
      <c r="E11" s="2158"/>
      <c r="F11" s="2158"/>
      <c r="G11" s="2158"/>
      <c r="H11" s="2159"/>
      <c r="I11" s="27"/>
      <c r="J11" s="74"/>
      <c r="K11" s="27"/>
      <c r="O11" s="148" t="s">
        <v>2074</v>
      </c>
      <c r="P11" s="100" t="s">
        <v>210</v>
      </c>
      <c r="Q11" s="30"/>
      <c r="R11" s="28"/>
      <c r="S11" s="27"/>
      <c r="T11" s="2151"/>
      <c r="U11" s="2152"/>
      <c r="V11" s="2152"/>
      <c r="W11" s="2152"/>
      <c r="X11" s="2152"/>
      <c r="Y11" s="2152"/>
      <c r="Z11" s="2152"/>
      <c r="AA11" s="2153"/>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161">
        <v>28037801060</v>
      </c>
      <c r="B13" s="2162"/>
      <c r="C13" s="2162"/>
      <c r="D13" s="2162"/>
      <c r="E13" s="2162"/>
      <c r="F13" s="2162"/>
      <c r="G13" s="2162"/>
      <c r="H13" s="2163"/>
      <c r="I13" s="31"/>
      <c r="J13" s="30"/>
      <c r="K13" s="28"/>
      <c r="L13" s="30"/>
      <c r="M13" s="30"/>
      <c r="N13" s="30"/>
      <c r="O13" s="30"/>
      <c r="P13" s="30"/>
      <c r="Q13" s="30"/>
      <c r="R13" s="30"/>
      <c r="S13" s="30"/>
      <c r="T13" s="2166" t="s">
        <v>2075</v>
      </c>
      <c r="U13" s="2167"/>
      <c r="V13" s="2167"/>
      <c r="W13" s="2167"/>
      <c r="X13" s="2167"/>
      <c r="Y13" s="2168"/>
      <c r="Z13" s="2168"/>
      <c r="AA13" s="2169"/>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160" t="s">
        <v>2083</v>
      </c>
      <c r="B15" s="2164"/>
      <c r="C15" s="2164"/>
      <c r="D15" s="2164"/>
      <c r="E15" s="2164"/>
      <c r="F15" s="2164"/>
      <c r="G15" s="2164"/>
      <c r="H15" s="2165"/>
      <c r="T15" s="2170" t="s">
        <v>2091</v>
      </c>
      <c r="U15" s="2114"/>
      <c r="V15" s="2114"/>
      <c r="W15" s="2114"/>
      <c r="X15" s="2114"/>
      <c r="Y15" s="2171"/>
      <c r="Z15" s="2171"/>
      <c r="AA15" s="217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120" t="s">
        <v>2183</v>
      </c>
      <c r="B17" s="2121"/>
      <c r="C17" s="2121"/>
      <c r="D17" s="2121"/>
      <c r="E17" s="2121"/>
      <c r="F17" s="2121"/>
      <c r="G17" s="2121"/>
      <c r="H17" s="2146"/>
      <c r="T17" s="2177" t="s">
        <v>2076</v>
      </c>
      <c r="U17" s="2178"/>
      <c r="V17" s="2178"/>
      <c r="W17" s="2178"/>
      <c r="X17" s="2178"/>
      <c r="Y17" s="2178"/>
      <c r="Z17" s="2178"/>
      <c r="AA17" s="2179"/>
    </row>
    <row r="18" spans="1:27" ht="13.5" customHeight="1" x14ac:dyDescent="0.2">
      <c r="A18" s="85" t="s">
        <v>551</v>
      </c>
      <c r="B18" s="76"/>
      <c r="C18" s="72"/>
      <c r="D18" s="76"/>
      <c r="E18" s="76"/>
      <c r="F18" s="76"/>
      <c r="G18" s="76"/>
      <c r="H18" s="56"/>
      <c r="I18" s="2145" t="s">
        <v>697</v>
      </c>
      <c r="J18" s="2096"/>
      <c r="K18" s="2096"/>
      <c r="L18" s="2096"/>
      <c r="M18" s="2096"/>
      <c r="N18" s="2096"/>
      <c r="O18" s="2096"/>
      <c r="P18" s="2096"/>
      <c r="Q18" s="2096"/>
      <c r="R18" s="2096"/>
      <c r="S18" s="2097"/>
      <c r="T18" s="85" t="s">
        <v>735</v>
      </c>
      <c r="U18" s="51"/>
      <c r="V18" s="72"/>
      <c r="W18" s="50"/>
      <c r="X18" s="85" t="s">
        <v>284</v>
      </c>
      <c r="Y18" s="81"/>
      <c r="Z18" s="159" t="s">
        <v>698</v>
      </c>
      <c r="AA18" s="46"/>
    </row>
    <row r="19" spans="1:27" ht="13.5" customHeight="1" x14ac:dyDescent="0.2">
      <c r="A19" s="2160" t="s">
        <v>2085</v>
      </c>
      <c r="B19" s="2106"/>
      <c r="C19" s="2106"/>
      <c r="D19" s="2106"/>
      <c r="E19" s="2106"/>
      <c r="F19" s="2106"/>
      <c r="G19" s="2106"/>
      <c r="H19" s="2086"/>
      <c r="I19" s="30"/>
      <c r="J19" s="99"/>
      <c r="K19" s="40"/>
      <c r="L19" s="38"/>
      <c r="M19" s="112" t="s">
        <v>333</v>
      </c>
      <c r="P19" s="27"/>
      <c r="Q19" s="27"/>
      <c r="R19" s="27"/>
      <c r="S19" s="31"/>
      <c r="T19" s="2160" t="s">
        <v>2077</v>
      </c>
      <c r="U19" s="2085"/>
      <c r="V19" s="2085"/>
      <c r="W19" s="2086"/>
      <c r="X19" s="2175" t="s">
        <v>2078</v>
      </c>
      <c r="Y19" s="2176"/>
      <c r="Z19" s="2173">
        <v>61614</v>
      </c>
      <c r="AA19" s="217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84" t="s">
        <v>2086</v>
      </c>
      <c r="B21" s="2085"/>
      <c r="C21" s="2085"/>
      <c r="D21" s="2085"/>
      <c r="E21" s="2085"/>
      <c r="F21" s="2085"/>
      <c r="G21" s="2085"/>
      <c r="H21" s="2086"/>
      <c r="I21" s="2140" t="s">
        <v>699</v>
      </c>
      <c r="J21" s="2135"/>
      <c r="K21" s="2135"/>
      <c r="L21" s="2135"/>
      <c r="M21" s="2135"/>
      <c r="N21" s="2135"/>
      <c r="O21" s="2135"/>
      <c r="P21" s="2135"/>
      <c r="Q21" s="2135"/>
      <c r="R21" s="2135"/>
      <c r="S21" s="2141"/>
      <c r="T21" s="2184" t="s">
        <v>2079</v>
      </c>
      <c r="U21" s="2185"/>
      <c r="V21" s="2185"/>
      <c r="W21" s="2185"/>
      <c r="X21" s="2190" t="s">
        <v>2080</v>
      </c>
      <c r="Y21" s="2191"/>
      <c r="Z21" s="2191"/>
      <c r="AA21" s="2192"/>
    </row>
    <row r="22" spans="1:27" ht="13.5" customHeight="1" x14ac:dyDescent="0.2">
      <c r="A22" s="87" t="s">
        <v>552</v>
      </c>
      <c r="B22" s="59"/>
      <c r="C22" s="59"/>
      <c r="D22" s="59"/>
      <c r="E22" s="59"/>
      <c r="F22" s="59"/>
      <c r="G22" s="59"/>
      <c r="H22" s="60"/>
      <c r="I22" s="2142" t="s">
        <v>1504</v>
      </c>
      <c r="J22" s="2143"/>
      <c r="K22" s="2143"/>
      <c r="L22" s="2143"/>
      <c r="M22" s="2143"/>
      <c r="N22" s="2143"/>
      <c r="O22" s="2143"/>
      <c r="P22" s="2143"/>
      <c r="Q22" s="2143"/>
      <c r="R22" s="2143"/>
      <c r="S22" s="2144"/>
      <c r="T22" s="85" t="s">
        <v>1596</v>
      </c>
      <c r="U22" s="51"/>
      <c r="V22" s="72"/>
      <c r="W22" s="51"/>
      <c r="X22" s="160" t="s">
        <v>1385</v>
      </c>
      <c r="Z22" s="45"/>
      <c r="AA22" s="46"/>
    </row>
    <row r="23" spans="1:27" ht="13.5" customHeight="1" x14ac:dyDescent="0.2">
      <c r="A23" s="2137" t="s">
        <v>2088</v>
      </c>
      <c r="B23" s="2138"/>
      <c r="C23" s="2138"/>
      <c r="D23" s="2138"/>
      <c r="E23" s="2138"/>
      <c r="F23" s="2138"/>
      <c r="G23" s="2138"/>
      <c r="H23" s="2139"/>
      <c r="T23" s="2120" t="s">
        <v>2105</v>
      </c>
      <c r="U23" s="2183"/>
      <c r="V23" s="2183"/>
      <c r="W23" s="2183"/>
      <c r="X23" s="2187">
        <v>44530</v>
      </c>
      <c r="Y23" s="2188"/>
      <c r="Z23" s="2188"/>
      <c r="AA23" s="2189"/>
    </row>
    <row r="24" spans="1:27" ht="14.1" customHeight="1" x14ac:dyDescent="0.2">
      <c r="A24" s="88" t="s">
        <v>698</v>
      </c>
      <c r="B24" s="49"/>
      <c r="C24" s="49"/>
      <c r="D24" s="49"/>
      <c r="E24" s="49"/>
      <c r="F24" s="49"/>
      <c r="G24" s="49"/>
      <c r="H24" s="61"/>
      <c r="J24" s="2107" t="str">
        <f>IF(B5="x",IF(AUDITCHECK!D29="AFR form Incomplete.","",IF(AUDITCHECK!D29="Deficit reduction plan is required.","School District must complete a deficit reduction plan in the 2018-2019 Budget",)),"")</f>
        <v/>
      </c>
      <c r="K24" s="2107"/>
      <c r="L24" s="2107"/>
      <c r="M24" s="2107"/>
      <c r="N24" s="2107"/>
      <c r="O24" s="2107"/>
      <c r="P24" s="2107"/>
      <c r="Q24" s="2107"/>
      <c r="R24" s="2107"/>
      <c r="S24" s="2108"/>
      <c r="T24" s="105" t="s">
        <v>552</v>
      </c>
      <c r="U24" s="106"/>
      <c r="V24" s="106"/>
      <c r="W24" s="106"/>
      <c r="X24" s="107"/>
      <c r="Y24" s="107"/>
      <c r="Z24" s="107"/>
      <c r="AA24" s="108"/>
    </row>
    <row r="25" spans="1:27" ht="14.1" customHeight="1" x14ac:dyDescent="0.2">
      <c r="A25" s="2084">
        <v>61443</v>
      </c>
      <c r="B25" s="2085"/>
      <c r="C25" s="2085"/>
      <c r="D25" s="2085"/>
      <c r="E25" s="2085"/>
      <c r="F25" s="2085"/>
      <c r="G25" s="2085"/>
      <c r="H25" s="2086"/>
      <c r="I25" s="113"/>
      <c r="J25" s="2109"/>
      <c r="K25" s="2109"/>
      <c r="L25" s="2109"/>
      <c r="M25" s="2109"/>
      <c r="N25" s="2109"/>
      <c r="O25" s="2109"/>
      <c r="P25" s="2109"/>
      <c r="Q25" s="2109"/>
      <c r="R25" s="2109"/>
      <c r="S25" s="2110"/>
      <c r="T25" s="2180" t="s">
        <v>2092</v>
      </c>
      <c r="U25" s="2181"/>
      <c r="V25" s="2181"/>
      <c r="W25" s="2181"/>
      <c r="X25" s="2181"/>
      <c r="Y25" s="2181"/>
      <c r="Z25" s="2181"/>
      <c r="AA25" s="218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95" t="s">
        <v>1591</v>
      </c>
      <c r="J27" s="2096"/>
      <c r="K27" s="2096"/>
      <c r="L27" s="2096"/>
      <c r="M27" s="2096"/>
      <c r="N27" s="2096"/>
      <c r="O27" s="2096"/>
      <c r="P27" s="2096"/>
      <c r="Q27" s="2096"/>
      <c r="R27" s="2096"/>
      <c r="S27" s="2097"/>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2074</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2074</v>
      </c>
      <c r="C30" s="124" t="s">
        <v>1226</v>
      </c>
      <c r="D30" s="28"/>
      <c r="E30" s="28"/>
      <c r="F30" s="140"/>
      <c r="G30" s="114"/>
      <c r="H30" s="114"/>
      <c r="I30" s="54"/>
      <c r="J30" s="148" t="s">
        <v>2074</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2074</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106"/>
      <c r="Q35" s="2085"/>
      <c r="R35" s="208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120" t="s">
        <v>2087</v>
      </c>
      <c r="B38" s="2121"/>
      <c r="C38" s="2121"/>
      <c r="D38" s="2121"/>
      <c r="E38" s="2121"/>
      <c r="F38" s="2085"/>
      <c r="G38" s="2085"/>
      <c r="H38" s="2086"/>
      <c r="I38" s="2113"/>
      <c r="J38" s="2114"/>
      <c r="K38" s="2114"/>
      <c r="L38" s="2114"/>
      <c r="M38" s="2114"/>
      <c r="N38" s="2114"/>
      <c r="O38" s="2114"/>
      <c r="P38" s="2115"/>
      <c r="Q38" s="2115"/>
      <c r="R38" s="2115"/>
      <c r="S38" s="2116"/>
      <c r="T38" s="2170"/>
      <c r="U38" s="2114"/>
      <c r="V38" s="2114"/>
      <c r="W38" s="2114"/>
      <c r="X38" s="2115"/>
      <c r="Y38" s="2115"/>
      <c r="Z38" s="2115"/>
      <c r="AA38" s="2116"/>
    </row>
    <row r="39" spans="1:27" ht="12" customHeight="1" x14ac:dyDescent="0.2">
      <c r="A39" s="2090" t="s">
        <v>552</v>
      </c>
      <c r="B39" s="2091"/>
      <c r="C39" s="72"/>
      <c r="D39" s="69"/>
      <c r="E39" s="69"/>
      <c r="F39" s="79"/>
      <c r="G39" s="69"/>
      <c r="H39" s="56"/>
      <c r="I39" s="2090" t="s">
        <v>552</v>
      </c>
      <c r="J39" s="2091"/>
      <c r="K39" s="2091"/>
      <c r="L39" s="2091"/>
      <c r="M39" s="2091"/>
      <c r="N39" s="67"/>
      <c r="O39" s="72"/>
      <c r="P39" s="72"/>
      <c r="Q39" s="78"/>
      <c r="R39" s="72"/>
      <c r="S39" s="56"/>
      <c r="T39" s="72" t="s">
        <v>552</v>
      </c>
      <c r="U39" s="51"/>
      <c r="V39" s="72"/>
      <c r="W39" s="50"/>
      <c r="X39" s="78"/>
      <c r="Y39" s="45"/>
      <c r="Z39" s="45"/>
      <c r="AA39" s="46"/>
    </row>
    <row r="40" spans="1:27" ht="13.5" customHeight="1" x14ac:dyDescent="0.2">
      <c r="A40" s="2098" t="s">
        <v>2181</v>
      </c>
      <c r="B40" s="2099"/>
      <c r="C40" s="2100"/>
      <c r="D40" s="2100"/>
      <c r="E40" s="2100"/>
      <c r="F40" s="2101"/>
      <c r="G40" s="2101"/>
      <c r="H40" s="2102"/>
      <c r="I40" s="2123"/>
      <c r="J40" s="2124"/>
      <c r="K40" s="2124"/>
      <c r="L40" s="2124"/>
      <c r="M40" s="2124"/>
      <c r="N40" s="2124"/>
      <c r="O40" s="2124"/>
      <c r="P40" s="2124"/>
      <c r="Q40" s="2124"/>
      <c r="R40" s="2124"/>
      <c r="S40" s="2125"/>
      <c r="T40" s="2123"/>
      <c r="U40" s="2186"/>
      <c r="V40" s="2124"/>
      <c r="W40" s="2124"/>
      <c r="X40" s="2124"/>
      <c r="Y40" s="2124"/>
      <c r="Z40" s="2124"/>
      <c r="AA40" s="212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112" t="s">
        <v>2089</v>
      </c>
      <c r="B42" s="2104"/>
      <c r="C42" s="2105"/>
      <c r="D42" s="2103" t="s">
        <v>2090</v>
      </c>
      <c r="E42" s="2104"/>
      <c r="F42" s="2104"/>
      <c r="G42" s="2104"/>
      <c r="H42" s="2105"/>
      <c r="I42" s="2087"/>
      <c r="J42" s="2088"/>
      <c r="K42" s="2088"/>
      <c r="L42" s="2088"/>
      <c r="M42" s="2088"/>
      <c r="N42" s="2088"/>
      <c r="O42" s="2089"/>
      <c r="P42" s="2122"/>
      <c r="Q42" s="2088"/>
      <c r="R42" s="2088"/>
      <c r="S42" s="2089"/>
      <c r="T42" s="2087"/>
      <c r="U42" s="2088"/>
      <c r="V42" s="2088"/>
      <c r="W42" s="2089"/>
      <c r="X42" s="2122"/>
      <c r="Y42" s="2088"/>
      <c r="Z42" s="2088"/>
      <c r="AA42" s="2089"/>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117"/>
      <c r="B44" s="2118"/>
      <c r="C44" s="2118"/>
      <c r="D44" s="2118"/>
      <c r="E44" s="2118"/>
      <c r="F44" s="2118"/>
      <c r="G44" s="2118"/>
      <c r="H44" s="2119"/>
      <c r="I44" s="2092"/>
      <c r="J44" s="2093"/>
      <c r="K44" s="2093"/>
      <c r="L44" s="2093"/>
      <c r="M44" s="2093"/>
      <c r="N44" s="2093"/>
      <c r="O44" s="2093"/>
      <c r="P44" s="2093"/>
      <c r="Q44" s="2093"/>
      <c r="R44" s="2093"/>
      <c r="S44" s="2094"/>
      <c r="T44" s="2092"/>
      <c r="U44" s="2111"/>
      <c r="V44" s="2111"/>
      <c r="W44" s="2111"/>
      <c r="X44" s="2111"/>
      <c r="Y44" s="2111"/>
      <c r="Z44" s="2093"/>
      <c r="AA44" s="2094"/>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57" t="s">
        <v>1709</v>
      </c>
    </row>
    <row r="23" spans="1:5" x14ac:dyDescent="0.2">
      <c r="A23" s="168"/>
      <c r="B23" s="162" t="s">
        <v>1966</v>
      </c>
      <c r="D23" s="167" t="s">
        <v>658</v>
      </c>
      <c r="E23" s="1857"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95" customHeight="1" thickBot="1" x14ac:dyDescent="0.25">
      <c r="A35" s="2196" t="s">
        <v>1125</v>
      </c>
      <c r="B35" s="2196"/>
      <c r="C35" s="2196"/>
      <c r="D35" s="2196"/>
      <c r="E35" s="2196"/>
    </row>
    <row r="36" spans="1:5" ht="12.75" thickTop="1" x14ac:dyDescent="0.2">
      <c r="B36" s="173"/>
      <c r="C36" s="174"/>
      <c r="D36" s="174"/>
      <c r="E36" s="175"/>
    </row>
    <row r="37" spans="1:5" ht="1.7"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93" t="s">
        <v>715</v>
      </c>
      <c r="B40" s="2193"/>
      <c r="C40" s="2193"/>
      <c r="D40" s="2193"/>
      <c r="E40" s="2193"/>
    </row>
    <row r="41" spans="1:5" x14ac:dyDescent="0.2">
      <c r="A41" s="2194" t="s">
        <v>1706</v>
      </c>
      <c r="B41" s="2194"/>
      <c r="C41" s="2194"/>
      <c r="D41" s="2194"/>
      <c r="E41" s="2194"/>
    </row>
    <row r="42" spans="1:5" ht="12.75" customHeight="1" x14ac:dyDescent="0.2">
      <c r="A42" s="2195" t="s">
        <v>1080</v>
      </c>
      <c r="B42" s="2195"/>
      <c r="C42" s="2195"/>
      <c r="D42" s="2195"/>
      <c r="E42" s="2195"/>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5" t="s">
        <v>1876</v>
      </c>
    </row>
    <row r="60" spans="1:3" x14ac:dyDescent="0.2">
      <c r="A60" s="196"/>
      <c r="B60" s="1505"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507"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6" t="s">
        <v>1717</v>
      </c>
    </row>
    <row r="72" spans="1:9" ht="9.1999999999999993"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97" t="s">
        <v>1230</v>
      </c>
      <c r="B2" s="2197"/>
      <c r="C2" s="2197"/>
      <c r="D2" s="2197"/>
      <c r="E2" s="2197"/>
      <c r="F2" s="2197"/>
      <c r="G2" s="2197"/>
      <c r="H2" s="2197"/>
      <c r="I2" s="2197"/>
      <c r="J2" s="2197"/>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211" t="s">
        <v>1731</v>
      </c>
      <c r="B35" s="2212"/>
      <c r="C35" s="2212"/>
      <c r="D35" s="2212"/>
      <c r="E35" s="2213"/>
      <c r="F35" s="2213"/>
      <c r="G35" s="2213"/>
      <c r="H35" s="2213"/>
      <c r="I35" s="2213"/>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211" t="s">
        <v>331</v>
      </c>
      <c r="B47" s="2214"/>
      <c r="C47" s="2214"/>
      <c r="D47" s="2214"/>
      <c r="E47" s="2215"/>
      <c r="F47" s="2215"/>
      <c r="G47" s="2215"/>
      <c r="H47" s="2215"/>
      <c r="I47" s="2215"/>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95" customHeight="1" x14ac:dyDescent="0.2">
      <c r="A53" s="219"/>
      <c r="B53" s="220"/>
      <c r="C53" s="179">
        <v>22</v>
      </c>
      <c r="D53" s="247" t="s">
        <v>1537</v>
      </c>
      <c r="E53" s="248"/>
      <c r="F53" s="249"/>
      <c r="G53" s="249" t="s">
        <v>1536</v>
      </c>
      <c r="H53" s="250"/>
      <c r="I53" s="237" t="s">
        <v>1562</v>
      </c>
    </row>
    <row r="54" spans="1:10" s="181" customFormat="1" x14ac:dyDescent="0.2">
      <c r="A54" s="219"/>
      <c r="B54" s="220" t="s">
        <v>2074</v>
      </c>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218" t="s">
        <v>2093</v>
      </c>
      <c r="C57" s="2219"/>
      <c r="D57" s="2219"/>
      <c r="E57" s="2219"/>
      <c r="F57" s="2219"/>
      <c r="G57" s="2219"/>
      <c r="H57" s="2219"/>
      <c r="I57" s="2219"/>
      <c r="J57" s="2220"/>
    </row>
    <row r="58" spans="1:10" s="181" customFormat="1" x14ac:dyDescent="0.2">
      <c r="A58" s="253"/>
      <c r="B58" s="2221"/>
      <c r="C58" s="2222"/>
      <c r="D58" s="2222"/>
      <c r="E58" s="2222"/>
      <c r="F58" s="2222"/>
      <c r="G58" s="2222"/>
      <c r="H58" s="2222"/>
      <c r="I58" s="2222"/>
      <c r="J58" s="2223"/>
    </row>
    <row r="59" spans="1:10" s="181" customFormat="1" x14ac:dyDescent="0.2">
      <c r="A59" s="253"/>
      <c r="B59" s="2221"/>
      <c r="C59" s="2222"/>
      <c r="D59" s="2222"/>
      <c r="E59" s="2222"/>
      <c r="F59" s="2222"/>
      <c r="G59" s="2222"/>
      <c r="H59" s="2222"/>
      <c r="I59" s="2222"/>
      <c r="J59" s="2223"/>
    </row>
    <row r="60" spans="1:10" s="181" customFormat="1" x14ac:dyDescent="0.2">
      <c r="A60" s="253"/>
      <c r="B60" s="2221"/>
      <c r="C60" s="2222"/>
      <c r="D60" s="2222"/>
      <c r="E60" s="2222"/>
      <c r="F60" s="2222"/>
      <c r="G60" s="2222"/>
      <c r="H60" s="2222"/>
      <c r="I60" s="2222"/>
      <c r="J60" s="2223"/>
    </row>
    <row r="61" spans="1:10" s="181" customFormat="1" x14ac:dyDescent="0.2">
      <c r="A61" s="253"/>
      <c r="B61" s="2221"/>
      <c r="C61" s="2222"/>
      <c r="D61" s="2222"/>
      <c r="E61" s="2222"/>
      <c r="F61" s="2222"/>
      <c r="G61" s="2222"/>
      <c r="H61" s="2222"/>
      <c r="I61" s="2222"/>
      <c r="J61" s="2223"/>
    </row>
    <row r="62" spans="1:10" s="181" customFormat="1" x14ac:dyDescent="0.2">
      <c r="A62" s="253"/>
      <c r="B62" s="2221"/>
      <c r="C62" s="2222"/>
      <c r="D62" s="2222"/>
      <c r="E62" s="2222"/>
      <c r="F62" s="2222"/>
      <c r="G62" s="2222"/>
      <c r="H62" s="2222"/>
      <c r="I62" s="2222"/>
      <c r="J62" s="2223"/>
    </row>
    <row r="63" spans="1:10" s="181" customFormat="1" x14ac:dyDescent="0.2">
      <c r="A63" s="253"/>
      <c r="B63" s="2221"/>
      <c r="C63" s="2222"/>
      <c r="D63" s="2222"/>
      <c r="E63" s="2222"/>
      <c r="F63" s="2222"/>
      <c r="G63" s="2222"/>
      <c r="H63" s="2222"/>
      <c r="I63" s="2222"/>
      <c r="J63" s="2223"/>
    </row>
    <row r="64" spans="1:10" s="181" customFormat="1" x14ac:dyDescent="0.2">
      <c r="A64" s="253"/>
      <c r="B64" s="2221"/>
      <c r="C64" s="2222"/>
      <c r="D64" s="2222"/>
      <c r="E64" s="2222"/>
      <c r="F64" s="2222"/>
      <c r="G64" s="2222"/>
      <c r="H64" s="2222"/>
      <c r="I64" s="2222"/>
      <c r="J64" s="2223"/>
    </row>
    <row r="65" spans="1:10" s="181" customFormat="1" x14ac:dyDescent="0.2">
      <c r="A65" s="253"/>
      <c r="B65" s="2221"/>
      <c r="C65" s="2222"/>
      <c r="D65" s="2222"/>
      <c r="E65" s="2222"/>
      <c r="F65" s="2222"/>
      <c r="G65" s="2222"/>
      <c r="H65" s="2222"/>
      <c r="I65" s="2222"/>
      <c r="J65" s="2223"/>
    </row>
    <row r="66" spans="1:10" s="181" customFormat="1" x14ac:dyDescent="0.2">
      <c r="A66" s="253"/>
      <c r="B66" s="2221"/>
      <c r="C66" s="2222"/>
      <c r="D66" s="2222"/>
      <c r="E66" s="2222"/>
      <c r="F66" s="2222"/>
      <c r="G66" s="2222"/>
      <c r="H66" s="2222"/>
      <c r="I66" s="2222"/>
      <c r="J66" s="2223"/>
    </row>
    <row r="67" spans="1:10" s="181" customFormat="1" ht="9.1999999999999993" customHeight="1" x14ac:dyDescent="0.2">
      <c r="A67" s="254"/>
      <c r="B67" s="2224"/>
      <c r="C67" s="2225"/>
      <c r="D67" s="2225"/>
      <c r="E67" s="2225"/>
      <c r="F67" s="2225"/>
      <c r="G67" s="2225"/>
      <c r="H67" s="2225"/>
      <c r="I67" s="2225"/>
      <c r="J67" s="2226"/>
    </row>
    <row r="68" spans="1:10" s="181" customFormat="1" ht="9.1999999999999993"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211" t="s">
        <v>1390</v>
      </c>
      <c r="B70" s="2214"/>
      <c r="C70" s="2214"/>
      <c r="D70" s="2214"/>
      <c r="E70" s="2215"/>
      <c r="F70" s="2215"/>
      <c r="G70" s="2215"/>
      <c r="H70" s="2215"/>
      <c r="I70" s="2215"/>
    </row>
    <row r="71" spans="1:10" s="181" customFormat="1" x14ac:dyDescent="0.2">
      <c r="A71" s="219"/>
      <c r="C71" s="257"/>
      <c r="D71" s="258" t="s">
        <v>1389</v>
      </c>
      <c r="E71" s="256"/>
      <c r="F71" s="256"/>
      <c r="G71" s="256"/>
      <c r="H71" s="256"/>
    </row>
    <row r="72" spans="1:10" s="181" customFormat="1" ht="5.4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216" t="s">
        <v>1387</v>
      </c>
      <c r="B83" s="2216"/>
      <c r="C83" s="2216"/>
      <c r="D83" s="2217"/>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198"/>
      <c r="C102" s="2199"/>
      <c r="D102" s="2199"/>
      <c r="E102" s="2199"/>
      <c r="F102" s="2199"/>
      <c r="G102" s="2199"/>
      <c r="H102" s="2199"/>
      <c r="I102" s="2200"/>
    </row>
    <row r="103" spans="1:9" s="181" customFormat="1" ht="11.25" customHeight="1" x14ac:dyDescent="0.2">
      <c r="A103" s="316"/>
      <c r="B103" s="2201"/>
      <c r="C103" s="2202"/>
      <c r="D103" s="2202"/>
      <c r="E103" s="2202"/>
      <c r="F103" s="2202"/>
      <c r="G103" s="2202"/>
      <c r="H103" s="2202"/>
      <c r="I103" s="2203"/>
    </row>
    <row r="104" spans="1:9" s="181" customFormat="1" ht="11.25" customHeight="1" x14ac:dyDescent="0.2">
      <c r="A104" s="316"/>
      <c r="B104" s="2201"/>
      <c r="C104" s="2202"/>
      <c r="D104" s="2202"/>
      <c r="E104" s="2202"/>
      <c r="F104" s="2202"/>
      <c r="G104" s="2202"/>
      <c r="H104" s="2202"/>
      <c r="I104" s="2203"/>
    </row>
    <row r="105" spans="1:9" s="181" customFormat="1" x14ac:dyDescent="0.2">
      <c r="A105" s="316"/>
      <c r="B105" s="2201"/>
      <c r="C105" s="2202"/>
      <c r="D105" s="2202"/>
      <c r="E105" s="2202"/>
      <c r="F105" s="2202"/>
      <c r="G105" s="2202"/>
      <c r="H105" s="2202"/>
      <c r="I105" s="2203"/>
    </row>
    <row r="106" spans="1:9" s="181" customFormat="1" ht="11.25" customHeight="1" x14ac:dyDescent="0.2">
      <c r="A106" s="316"/>
      <c r="B106" s="2201"/>
      <c r="C106" s="2202"/>
      <c r="D106" s="2202"/>
      <c r="E106" s="2202"/>
      <c r="F106" s="2202"/>
      <c r="G106" s="2202"/>
      <c r="H106" s="2202"/>
      <c r="I106" s="2203"/>
    </row>
    <row r="107" spans="1:9" s="181" customFormat="1" ht="11.25" customHeight="1" x14ac:dyDescent="0.2">
      <c r="A107" s="316"/>
      <c r="B107" s="2201"/>
      <c r="C107" s="2202"/>
      <c r="D107" s="2202"/>
      <c r="E107" s="2202"/>
      <c r="F107" s="2202"/>
      <c r="G107" s="2202"/>
      <c r="H107" s="2202"/>
      <c r="I107" s="2203"/>
    </row>
    <row r="108" spans="1:9" s="181" customFormat="1" ht="11.25" customHeight="1" x14ac:dyDescent="0.2">
      <c r="A108" s="316"/>
      <c r="B108" s="2201"/>
      <c r="C108" s="2202"/>
      <c r="D108" s="2202"/>
      <c r="E108" s="2202"/>
      <c r="F108" s="2202"/>
      <c r="G108" s="2202"/>
      <c r="H108" s="2202"/>
      <c r="I108" s="2203"/>
    </row>
    <row r="109" spans="1:9" s="181" customFormat="1" ht="11.25" customHeight="1" x14ac:dyDescent="0.2">
      <c r="A109" s="316"/>
      <c r="B109" s="2201"/>
      <c r="C109" s="2202"/>
      <c r="D109" s="2202"/>
      <c r="E109" s="2202"/>
      <c r="F109" s="2202"/>
      <c r="G109" s="2202"/>
      <c r="H109" s="2202"/>
      <c r="I109" s="2203"/>
    </row>
    <row r="110" spans="1:9" s="181" customFormat="1" ht="11.25" customHeight="1" x14ac:dyDescent="0.2">
      <c r="A110" s="316"/>
      <c r="B110" s="2201"/>
      <c r="C110" s="2202"/>
      <c r="D110" s="2202"/>
      <c r="E110" s="2202"/>
      <c r="F110" s="2202"/>
      <c r="G110" s="2202"/>
      <c r="H110" s="2202"/>
      <c r="I110" s="2203"/>
    </row>
    <row r="111" spans="1:9" s="181" customFormat="1" ht="11.25" customHeight="1" x14ac:dyDescent="0.2">
      <c r="A111" s="316"/>
      <c r="B111" s="2201"/>
      <c r="C111" s="2202"/>
      <c r="D111" s="2202"/>
      <c r="E111" s="2202"/>
      <c r="F111" s="2202"/>
      <c r="G111" s="2202"/>
      <c r="H111" s="2202"/>
      <c r="I111" s="2203"/>
    </row>
    <row r="112" spans="1:9" s="181" customFormat="1" ht="11.25" customHeight="1" x14ac:dyDescent="0.2">
      <c r="A112" s="316"/>
      <c r="B112" s="2204"/>
      <c r="C112" s="2205"/>
      <c r="D112" s="2205"/>
      <c r="E112" s="2205"/>
      <c r="F112" s="2205"/>
      <c r="G112" s="2205"/>
      <c r="H112" s="2205"/>
      <c r="I112" s="220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207" t="s">
        <v>2081</v>
      </c>
      <c r="D114" s="2207"/>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208" t="s">
        <v>1397</v>
      </c>
      <c r="D117" s="2209"/>
      <c r="E117" s="2210"/>
      <c r="F117" s="2210"/>
      <c r="G117" s="2210"/>
      <c r="H117" s="2210"/>
      <c r="I117" s="304"/>
    </row>
    <row r="118" spans="1:9" s="181" customFormat="1" ht="24" customHeight="1" x14ac:dyDescent="0.2">
      <c r="A118" s="316"/>
      <c r="B118" s="316"/>
      <c r="C118" s="316"/>
      <c r="D118" s="323" t="s">
        <v>2182</v>
      </c>
      <c r="E118" s="322"/>
      <c r="F118" s="324"/>
      <c r="G118" s="1861"/>
      <c r="H118" s="322"/>
      <c r="I118" s="304"/>
    </row>
    <row r="119" spans="1:9" s="181" customFormat="1" ht="11.25" customHeight="1" x14ac:dyDescent="0.2">
      <c r="A119" s="325"/>
      <c r="B119" s="325"/>
      <c r="C119" s="326"/>
      <c r="D119" s="327" t="s">
        <v>379</v>
      </c>
      <c r="E119" s="310"/>
      <c r="F119" s="1860" t="s">
        <v>2019</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4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227" t="s">
        <v>404</v>
      </c>
      <c r="B1" s="2227"/>
      <c r="C1" s="2227"/>
      <c r="D1" s="2227"/>
      <c r="E1" s="2227"/>
      <c r="F1" s="2227"/>
      <c r="G1" s="2227"/>
      <c r="H1" s="2227"/>
      <c r="I1" s="2227"/>
      <c r="J1" s="2227"/>
      <c r="K1" s="2227"/>
      <c r="L1" s="2227"/>
      <c r="M1" s="2227"/>
      <c r="N1" s="346"/>
    </row>
    <row r="2" spans="1:14" ht="11.1"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1.1"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1.1"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52">
        <f>ROUND(D10+F10+H10,5)</f>
        <v>0</v>
      </c>
      <c r="K10" s="222"/>
      <c r="L10" s="355"/>
      <c r="M10" s="222"/>
    </row>
    <row r="11" spans="1:14" ht="7.5" customHeight="1" x14ac:dyDescent="0.2">
      <c r="B11" s="222"/>
      <c r="C11" s="222"/>
      <c r="D11" s="2237" t="str">
        <f>IF(SUM(J10)&lt;=0.0999999,"","Enter the Tax Rates by moving the decimal two places to the left.")</f>
        <v/>
      </c>
      <c r="E11" s="2238"/>
      <c r="F11" s="2238"/>
      <c r="G11" s="2238"/>
      <c r="H11" s="2238"/>
      <c r="I11" s="2238"/>
      <c r="J11" s="223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1.1"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8156955</v>
      </c>
      <c r="E16" s="356"/>
      <c r="F16" s="1753">
        <f>SUM('Acct Summary 7-8'!C17,'Acct Summary 7-8'!D17,'Acct Summary 7-8'!F17)</f>
        <v>7928166</v>
      </c>
      <c r="G16" s="356"/>
      <c r="H16" s="1753">
        <f>SUM(D16-F16)</f>
        <v>228789</v>
      </c>
      <c r="I16" s="222"/>
      <c r="J16" s="1753">
        <f>SUM('Acct Summary 7-8'!C81,'Acct Summary 7-8'!D81,'Acct Summary 7-8'!F81,'Acct Summary 7-8'!I81)</f>
        <v>1001096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1999999999999993"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1.1"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5"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228"/>
      <c r="C54" s="2229"/>
      <c r="D54" s="2229"/>
      <c r="E54" s="2229"/>
      <c r="F54" s="2229"/>
      <c r="G54" s="2229"/>
      <c r="H54" s="2229"/>
      <c r="I54" s="2229"/>
      <c r="J54" s="2229"/>
      <c r="K54" s="2229"/>
      <c r="L54" s="2230"/>
      <c r="M54" s="380"/>
    </row>
    <row r="55" spans="1:13" ht="12.75" customHeight="1" x14ac:dyDescent="0.2">
      <c r="B55" s="2231"/>
      <c r="C55" s="2232"/>
      <c r="D55" s="2232"/>
      <c r="E55" s="2232"/>
      <c r="F55" s="2232"/>
      <c r="G55" s="2232"/>
      <c r="H55" s="2232"/>
      <c r="I55" s="2232"/>
      <c r="J55" s="2232"/>
      <c r="K55" s="2232"/>
      <c r="L55" s="2233"/>
      <c r="M55" s="380"/>
    </row>
    <row r="56" spans="1:13" ht="12.75" customHeight="1" x14ac:dyDescent="0.2">
      <c r="B56" s="2231"/>
      <c r="C56" s="2232"/>
      <c r="D56" s="2232"/>
      <c r="E56" s="2232"/>
      <c r="F56" s="2232"/>
      <c r="G56" s="2232"/>
      <c r="H56" s="2232"/>
      <c r="I56" s="2232"/>
      <c r="J56" s="2232"/>
      <c r="K56" s="2232"/>
      <c r="L56" s="2233"/>
      <c r="M56" s="222"/>
    </row>
    <row r="57" spans="1:13" ht="12.75" customHeight="1" x14ac:dyDescent="0.2">
      <c r="B57" s="2231"/>
      <c r="C57" s="2232"/>
      <c r="D57" s="2232"/>
      <c r="E57" s="2232"/>
      <c r="F57" s="2232"/>
      <c r="G57" s="2232"/>
      <c r="H57" s="2232"/>
      <c r="I57" s="2232"/>
      <c r="J57" s="2232"/>
      <c r="K57" s="2232"/>
      <c r="L57" s="2233"/>
      <c r="M57" s="222"/>
    </row>
    <row r="58" spans="1:13" x14ac:dyDescent="0.2">
      <c r="B58" s="2234"/>
      <c r="C58" s="2235"/>
      <c r="D58" s="2235"/>
      <c r="E58" s="2235"/>
      <c r="F58" s="2235"/>
      <c r="G58" s="2235"/>
      <c r="H58" s="2235"/>
      <c r="I58" s="2235"/>
      <c r="J58" s="2235"/>
      <c r="K58" s="2235"/>
      <c r="L58" s="223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239"/>
      <c r="D61" s="224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242"/>
      <c r="B1" s="2243"/>
      <c r="C1" s="2243"/>
      <c r="D1" s="384"/>
      <c r="E1" s="384"/>
      <c r="F1" s="384"/>
      <c r="G1" s="384"/>
      <c r="H1" s="384"/>
      <c r="I1" s="384"/>
      <c r="J1" s="384"/>
      <c r="K1" s="384"/>
      <c r="L1" s="384"/>
      <c r="M1" s="384"/>
      <c r="N1" s="384"/>
      <c r="O1" s="2242"/>
      <c r="P1" s="2243"/>
      <c r="Q1" s="2243"/>
    </row>
    <row r="2" spans="1:18" ht="15" x14ac:dyDescent="0.2">
      <c r="A2" s="2246" t="s">
        <v>577</v>
      </c>
      <c r="B2" s="2246"/>
      <c r="C2" s="2246"/>
      <c r="D2" s="2246"/>
      <c r="E2" s="2246"/>
      <c r="F2" s="2246"/>
      <c r="G2" s="2246"/>
      <c r="H2" s="2246"/>
      <c r="I2" s="2246"/>
      <c r="J2" s="2246"/>
      <c r="K2" s="2246"/>
      <c r="L2" s="2246"/>
      <c r="M2" s="2246"/>
      <c r="N2" s="2246"/>
      <c r="O2" s="2246"/>
      <c r="P2" s="2246"/>
      <c r="Q2" s="2246"/>
      <c r="R2" s="2246"/>
    </row>
    <row r="3" spans="1:18" ht="12.75" x14ac:dyDescent="0.2">
      <c r="A3" s="2247" t="s">
        <v>1480</v>
      </c>
      <c r="B3" s="2247"/>
      <c r="C3" s="2247"/>
      <c r="D3" s="2247"/>
      <c r="E3" s="2247"/>
      <c r="F3" s="2247"/>
      <c r="G3" s="2247"/>
      <c r="H3" s="2247"/>
      <c r="I3" s="2247"/>
      <c r="J3" s="2247"/>
      <c r="K3" s="2247"/>
      <c r="L3" s="2247"/>
      <c r="M3" s="2247"/>
      <c r="N3" s="2247"/>
      <c r="O3" s="2247"/>
      <c r="P3" s="2247"/>
      <c r="Q3" s="2247"/>
      <c r="R3" s="2247"/>
    </row>
    <row r="4" spans="1:18" x14ac:dyDescent="0.2">
      <c r="A4" s="2248" t="s">
        <v>1635</v>
      </c>
      <c r="B4" s="2248"/>
      <c r="C4" s="2248"/>
      <c r="D4" s="2248"/>
      <c r="E4" s="2248"/>
      <c r="F4" s="2248"/>
      <c r="G4" s="2248"/>
      <c r="H4" s="2248"/>
      <c r="I4" s="2248"/>
      <c r="J4" s="2248"/>
      <c r="K4" s="2248"/>
      <c r="L4" s="2248"/>
      <c r="M4" s="2248"/>
      <c r="N4" s="2248"/>
      <c r="O4" s="2248"/>
      <c r="P4" s="2248"/>
      <c r="Q4" s="2248"/>
      <c r="R4" s="224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Henry-Stark County SpEd District</v>
      </c>
      <c r="E7" s="391"/>
      <c r="G7" s="252"/>
      <c r="H7" s="387"/>
      <c r="I7" s="387"/>
      <c r="J7" s="387"/>
      <c r="K7" s="387"/>
      <c r="L7" s="329"/>
      <c r="M7" s="329"/>
      <c r="N7" s="329"/>
      <c r="O7" s="329"/>
      <c r="P7" s="329"/>
    </row>
    <row r="8" spans="1:18" ht="12.75" x14ac:dyDescent="0.2">
      <c r="A8" s="329"/>
      <c r="B8" s="329"/>
      <c r="C8" s="389" t="s">
        <v>1187</v>
      </c>
      <c r="D8" s="392">
        <f>COVER!A13</f>
        <v>28037801060</v>
      </c>
      <c r="E8" s="393"/>
      <c r="G8" s="329"/>
      <c r="H8" s="329"/>
      <c r="I8" s="329"/>
      <c r="J8" s="329"/>
      <c r="K8" s="329"/>
      <c r="L8" s="329"/>
      <c r="M8" s="329"/>
      <c r="N8" s="329"/>
      <c r="O8" s="329"/>
      <c r="P8" s="329"/>
    </row>
    <row r="9" spans="1:18" ht="12.75" x14ac:dyDescent="0.2">
      <c r="A9" s="329"/>
      <c r="B9" s="329"/>
      <c r="C9" s="389" t="s">
        <v>737</v>
      </c>
      <c r="D9" s="394" t="str">
        <f>COVER!A15</f>
        <v>Henry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1001096</v>
      </c>
      <c r="I12" s="404"/>
      <c r="J12" s="404"/>
      <c r="K12" s="405">
        <f>TRUNC((H12/H13*100000),5)/100000</f>
        <v>0.1227291311</v>
      </c>
      <c r="L12" s="406"/>
      <c r="M12" s="360" t="s">
        <v>1206</v>
      </c>
      <c r="N12" s="360"/>
      <c r="O12" s="407">
        <v>0.35</v>
      </c>
      <c r="P12" s="218"/>
      <c r="Q12" s="218"/>
    </row>
    <row r="13" spans="1:18" s="408" customFormat="1" ht="12.75" x14ac:dyDescent="0.2">
      <c r="A13" s="218"/>
      <c r="B13" s="401"/>
      <c r="C13" s="2244" t="s">
        <v>1391</v>
      </c>
      <c r="D13" s="2245"/>
      <c r="E13" s="218"/>
      <c r="F13" s="409" t="s">
        <v>826</v>
      </c>
      <c r="G13" s="402"/>
      <c r="H13" s="403">
        <f>SUM('Acct Summary 7-8'!C8+'Acct Summary 7-8'!D8+'Acct Summary 7-8'!F8+'Acct Summary 7-8'!I8)+H14</f>
        <v>8156955</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7928166</v>
      </c>
      <c r="I17" s="404"/>
      <c r="J17" s="416"/>
      <c r="K17" s="405">
        <f>TRUNC((H17/H18*100000),5)/100000</f>
        <v>0.97195166570000002</v>
      </c>
      <c r="L17" s="406"/>
      <c r="M17" s="417" t="s">
        <v>1233</v>
      </c>
      <c r="O17" s="418" t="str">
        <f>IF(AND(O16="2", J20 &gt; 2),"1",IF(AND(O16 = "1", J20 &gt; 2),"2",IF(AND(O16="1", J20 &gt;1),"1","0")))</f>
        <v>0</v>
      </c>
      <c r="P17" s="218"/>
    </row>
    <row r="18" spans="1:18" s="408" customFormat="1" ht="11.25" x14ac:dyDescent="0.2">
      <c r="A18" s="218"/>
      <c r="B18" s="401"/>
      <c r="C18" s="2244" t="s">
        <v>1384</v>
      </c>
      <c r="D18" s="2245"/>
      <c r="E18" s="218"/>
      <c r="F18" s="419" t="s">
        <v>827</v>
      </c>
      <c r="G18" s="402"/>
      <c r="H18" s="403">
        <f>SUM('Acct Summary 7-8'!C8+'Acct Summary 7-8'!D8+'Acct Summary 7-8'!F8+'Acct Summary 7-8'!I8)+H19</f>
        <v>8156955</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x14ac:dyDescent="0.2">
      <c r="A24" s="218"/>
      <c r="B24" s="401"/>
      <c r="C24" s="2241" t="s">
        <v>1479</v>
      </c>
      <c r="D24" s="2241"/>
      <c r="E24" s="218"/>
      <c r="F24" s="218" t="s">
        <v>465</v>
      </c>
      <c r="G24" s="402"/>
      <c r="H24" s="403">
        <f>SUM('Assets-Liab 5-6'!C4+'Assets-Liab 5-6'!D4+'Assets-Liab 5-6'!F4+'Assets-Liab 5-6'!I4+'Assets-Liab 5-6'!C5+'Assets-Liab 5-6'!D5+'Assets-Liab 5-6'!F5+'Assets-Liab 5-6'!I5)</f>
        <v>986074</v>
      </c>
      <c r="I24" s="422"/>
      <c r="J24" s="422"/>
      <c r="K24" s="423">
        <f>TRUNC(((H24/H25*100000)/100000),2)</f>
        <v>44.77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22022.68333</v>
      </c>
      <c r="I25" s="425"/>
      <c r="J25" s="425"/>
      <c r="K25" s="410"/>
      <c r="L25" s="218"/>
      <c r="M25" s="360" t="s">
        <v>1207</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249"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250"/>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251" t="s">
        <v>1030</v>
      </c>
      <c r="B3" s="2252"/>
      <c r="C3" s="1579"/>
      <c r="D3" s="1580"/>
      <c r="E3" s="1580"/>
      <c r="F3" s="1580"/>
      <c r="G3" s="1580"/>
      <c r="H3" s="1580"/>
      <c r="I3" s="1580"/>
      <c r="J3" s="1580"/>
      <c r="K3" s="1580"/>
      <c r="L3" s="1580"/>
      <c r="M3" s="1581"/>
      <c r="N3" s="1582"/>
    </row>
    <row r="4" spans="1:14" ht="13.5" customHeight="1" x14ac:dyDescent="0.2">
      <c r="A4" s="463" t="s">
        <v>1750</v>
      </c>
      <c r="B4" s="464"/>
      <c r="C4" s="465">
        <v>986074</v>
      </c>
      <c r="D4" s="465">
        <v>0</v>
      </c>
      <c r="E4" s="466">
        <v>0</v>
      </c>
      <c r="F4" s="466">
        <v>0</v>
      </c>
      <c r="G4" s="466">
        <v>0</v>
      </c>
      <c r="H4" s="466">
        <v>0</v>
      </c>
      <c r="I4" s="466">
        <v>0</v>
      </c>
      <c r="J4" s="467">
        <v>99880</v>
      </c>
      <c r="K4" s="466">
        <v>0</v>
      </c>
      <c r="L4" s="466">
        <v>32132</v>
      </c>
      <c r="M4" s="468"/>
      <c r="N4" s="469"/>
    </row>
    <row r="5" spans="1:14" x14ac:dyDescent="0.2">
      <c r="A5" s="463" t="s">
        <v>1049</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15022</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6" t="s">
        <v>665</v>
      </c>
      <c r="B13" s="1729"/>
      <c r="C13" s="1757">
        <f>SUM(C4:C12)</f>
        <v>1001096</v>
      </c>
      <c r="D13" s="1757">
        <f t="shared" ref="D13:L13" si="0">SUM(D4:D12)</f>
        <v>0</v>
      </c>
      <c r="E13" s="1757">
        <f t="shared" si="0"/>
        <v>0</v>
      </c>
      <c r="F13" s="1757">
        <f t="shared" si="0"/>
        <v>0</v>
      </c>
      <c r="G13" s="1757">
        <f t="shared" si="0"/>
        <v>0</v>
      </c>
      <c r="H13" s="1757">
        <f t="shared" si="0"/>
        <v>0</v>
      </c>
      <c r="I13" s="1757">
        <f t="shared" si="0"/>
        <v>0</v>
      </c>
      <c r="J13" s="1757">
        <f t="shared" si="0"/>
        <v>99880</v>
      </c>
      <c r="K13" s="1757">
        <f t="shared" si="0"/>
        <v>0</v>
      </c>
      <c r="L13" s="1757">
        <f t="shared" si="0"/>
        <v>32132</v>
      </c>
      <c r="M13" s="468"/>
      <c r="N13" s="469"/>
    </row>
    <row r="14" spans="1:14" ht="18" customHeight="1" thickTop="1" x14ac:dyDescent="0.2">
      <c r="A14" s="2253" t="s">
        <v>149</v>
      </c>
      <c r="B14" s="2254"/>
      <c r="C14" s="1583"/>
      <c r="D14" s="1584"/>
      <c r="E14" s="1584"/>
      <c r="F14" s="1584"/>
      <c r="G14" s="1584"/>
      <c r="H14" s="1584"/>
      <c r="I14" s="1584"/>
      <c r="J14" s="1584"/>
      <c r="K14" s="1584"/>
      <c r="L14" s="1584"/>
      <c r="M14" s="1585"/>
      <c r="N14" s="1586"/>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0</v>
      </c>
      <c r="N16" s="483"/>
    </row>
    <row r="17" spans="1:14" s="484" customFormat="1" ht="12.75" customHeight="1" x14ac:dyDescent="0.2">
      <c r="A17" s="481" t="s">
        <v>1470</v>
      </c>
      <c r="B17" s="482">
        <v>230</v>
      </c>
      <c r="C17" s="476"/>
      <c r="D17" s="476"/>
      <c r="E17" s="476"/>
      <c r="F17" s="476"/>
      <c r="G17" s="476"/>
      <c r="H17" s="476"/>
      <c r="I17" s="476"/>
      <c r="J17" s="476"/>
      <c r="K17" s="476"/>
      <c r="L17" s="476"/>
      <c r="M17" s="467">
        <v>515570</v>
      </c>
      <c r="N17" s="483"/>
    </row>
    <row r="18" spans="1:14" s="484" customFormat="1" ht="12.75" customHeight="1" x14ac:dyDescent="0.2">
      <c r="A18" s="481" t="s">
        <v>1471</v>
      </c>
      <c r="B18" s="482">
        <v>240</v>
      </c>
      <c r="C18" s="476"/>
      <c r="D18" s="476"/>
      <c r="E18" s="476"/>
      <c r="F18" s="476"/>
      <c r="G18" s="476"/>
      <c r="H18" s="476"/>
      <c r="I18" s="476"/>
      <c r="J18" s="476"/>
      <c r="K18" s="476"/>
      <c r="L18" s="476"/>
      <c r="M18" s="467">
        <v>0</v>
      </c>
      <c r="N18" s="483"/>
    </row>
    <row r="19" spans="1:14" s="484" customFormat="1" ht="12.75" customHeight="1" x14ac:dyDescent="0.2">
      <c r="A19" s="481" t="s">
        <v>1472</v>
      </c>
      <c r="B19" s="482">
        <v>250</v>
      </c>
      <c r="C19" s="476"/>
      <c r="D19" s="476"/>
      <c r="E19" s="476"/>
      <c r="F19" s="476"/>
      <c r="G19" s="476"/>
      <c r="H19" s="476"/>
      <c r="I19" s="476"/>
      <c r="J19" s="476"/>
      <c r="K19" s="476"/>
      <c r="L19" s="476"/>
      <c r="M19" s="467">
        <v>60666</v>
      </c>
      <c r="N19" s="483"/>
    </row>
    <row r="20" spans="1:14" s="484" customFormat="1" ht="12.75" customHeight="1" x14ac:dyDescent="0.2">
      <c r="A20" s="481" t="s">
        <v>1473</v>
      </c>
      <c r="B20" s="482">
        <v>260</v>
      </c>
      <c r="C20" s="476"/>
      <c r="D20" s="476"/>
      <c r="E20" s="476"/>
      <c r="F20" s="476"/>
      <c r="G20" s="476"/>
      <c r="H20" s="476"/>
      <c r="I20" s="476"/>
      <c r="J20" s="476"/>
      <c r="K20" s="476"/>
      <c r="L20" s="476"/>
      <c r="M20" s="467">
        <v>0</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0</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0</v>
      </c>
    </row>
    <row r="23" spans="1:14" ht="13.5" customHeight="1" thickBot="1" x14ac:dyDescent="0.25">
      <c r="A23" s="1756" t="s">
        <v>664</v>
      </c>
      <c r="B23" s="1761"/>
      <c r="C23" s="468"/>
      <c r="D23" s="468"/>
      <c r="E23" s="468"/>
      <c r="F23" s="468"/>
      <c r="G23" s="468"/>
      <c r="H23" s="468"/>
      <c r="I23" s="468"/>
      <c r="J23" s="468"/>
      <c r="K23" s="468"/>
      <c r="L23" s="468"/>
      <c r="M23" s="1708">
        <f>SUM(M15:M22)</f>
        <v>576236</v>
      </c>
      <c r="N23" s="1708">
        <f>SUM(N21:N22)</f>
        <v>0</v>
      </c>
    </row>
    <row r="24" spans="1:14" ht="18" customHeight="1" thickTop="1" x14ac:dyDescent="0.2">
      <c r="A24" s="2255" t="s">
        <v>619</v>
      </c>
      <c r="B24" s="2256"/>
      <c r="C24" s="1588"/>
      <c r="D24" s="1585"/>
      <c r="E24" s="1585"/>
      <c r="F24" s="1585"/>
      <c r="G24" s="1585"/>
      <c r="H24" s="1585"/>
      <c r="I24" s="1585"/>
      <c r="J24" s="1585"/>
      <c r="K24" s="1585"/>
      <c r="L24" s="1585"/>
      <c r="M24" s="1584"/>
      <c r="N24" s="1589"/>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0</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4534</v>
      </c>
      <c r="M33" s="468"/>
      <c r="N33" s="469"/>
    </row>
    <row r="34" spans="1:14" ht="13.5" customHeight="1" thickBot="1" x14ac:dyDescent="0.25">
      <c r="A34" s="1758" t="s">
        <v>675</v>
      </c>
      <c r="B34" s="1759"/>
      <c r="C34" s="1760">
        <f>SUM(C25:C33)</f>
        <v>0</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4534</v>
      </c>
      <c r="M34" s="468"/>
      <c r="N34" s="479"/>
    </row>
    <row r="35" spans="1:14" ht="18" customHeight="1" thickTop="1" x14ac:dyDescent="0.2">
      <c r="A35" s="2257" t="s">
        <v>550</v>
      </c>
      <c r="B35" s="2258"/>
      <c r="C35" s="1590"/>
      <c r="D35" s="1591"/>
      <c r="E35" s="1591"/>
      <c r="F35" s="1591"/>
      <c r="G35" s="1591"/>
      <c r="H35" s="1591"/>
      <c r="I35" s="1591"/>
      <c r="J35" s="1591"/>
      <c r="K35" s="1591"/>
      <c r="L35" s="1591"/>
      <c r="M35" s="1585"/>
      <c r="N35" s="1589"/>
    </row>
    <row r="36" spans="1:14" x14ac:dyDescent="0.2">
      <c r="A36" s="492" t="s">
        <v>1</v>
      </c>
      <c r="B36" s="470">
        <v>511</v>
      </c>
      <c r="C36" s="476"/>
      <c r="D36" s="476"/>
      <c r="E36" s="476"/>
      <c r="F36" s="476"/>
      <c r="G36" s="476"/>
      <c r="H36" s="476"/>
      <c r="I36" s="476"/>
      <c r="J36" s="476"/>
      <c r="K36" s="476"/>
      <c r="L36" s="468"/>
      <c r="M36" s="468"/>
      <c r="N36" s="493">
        <f>'Short-Term Long-Term Debt 24'!I49</f>
        <v>0</v>
      </c>
    </row>
    <row r="37" spans="1:14" ht="13.5" thickBot="1" x14ac:dyDescent="0.25">
      <c r="A37" s="1756" t="s">
        <v>674</v>
      </c>
      <c r="B37" s="1761"/>
      <c r="C37" s="476"/>
      <c r="D37" s="476"/>
      <c r="E37" s="476"/>
      <c r="F37" s="476"/>
      <c r="G37" s="476"/>
      <c r="H37" s="476"/>
      <c r="I37" s="476"/>
      <c r="J37" s="476"/>
      <c r="K37" s="476"/>
      <c r="L37" s="479"/>
      <c r="M37" s="468"/>
      <c r="N37" s="1708">
        <f>SUM(N36:N36)</f>
        <v>0</v>
      </c>
    </row>
    <row r="38" spans="1:14" s="329" customFormat="1" ht="13.5" customHeight="1" thickTop="1" x14ac:dyDescent="0.2">
      <c r="A38" s="494" t="s">
        <v>440</v>
      </c>
      <c r="B38" s="482">
        <v>714</v>
      </c>
      <c r="C38" s="465">
        <v>2114</v>
      </c>
      <c r="D38" s="465">
        <v>0</v>
      </c>
      <c r="E38" s="465">
        <v>0</v>
      </c>
      <c r="F38" s="465">
        <v>0</v>
      </c>
      <c r="G38" s="465">
        <v>0</v>
      </c>
      <c r="H38" s="465">
        <v>0</v>
      </c>
      <c r="I38" s="465">
        <v>0</v>
      </c>
      <c r="J38" s="465">
        <v>0</v>
      </c>
      <c r="K38" s="465">
        <v>0</v>
      </c>
      <c r="L38" s="465">
        <v>27598</v>
      </c>
      <c r="M38" s="495"/>
      <c r="N38" s="495"/>
    </row>
    <row r="39" spans="1:14" s="329" customFormat="1" ht="13.5" customHeight="1" x14ac:dyDescent="0.2">
      <c r="A39" s="494" t="s">
        <v>360</v>
      </c>
      <c r="B39" s="482">
        <v>730</v>
      </c>
      <c r="C39" s="465">
        <v>998982</v>
      </c>
      <c r="D39" s="465">
        <v>0</v>
      </c>
      <c r="E39" s="465">
        <v>0</v>
      </c>
      <c r="F39" s="465">
        <v>0</v>
      </c>
      <c r="G39" s="465">
        <v>0</v>
      </c>
      <c r="H39" s="465">
        <v>0</v>
      </c>
      <c r="I39" s="465">
        <v>0</v>
      </c>
      <c r="J39" s="465">
        <v>99880</v>
      </c>
      <c r="K39" s="465">
        <v>0</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576236</v>
      </c>
      <c r="N40" s="495"/>
    </row>
    <row r="41" spans="1:14" ht="13.5" customHeight="1" thickBot="1" x14ac:dyDescent="0.25">
      <c r="A41" s="1756" t="s">
        <v>676</v>
      </c>
      <c r="B41" s="1726"/>
      <c r="C41" s="1708">
        <f>(SUM(C34,C37,C38,C39))</f>
        <v>1001096</v>
      </c>
      <c r="D41" s="1708">
        <f t="shared" ref="D41:L41" si="2">SUM(D34,D37,D38:D39)</f>
        <v>0</v>
      </c>
      <c r="E41" s="1708">
        <f t="shared" si="2"/>
        <v>0</v>
      </c>
      <c r="F41" s="1708">
        <f t="shared" si="2"/>
        <v>0</v>
      </c>
      <c r="G41" s="1708">
        <f t="shared" si="2"/>
        <v>0</v>
      </c>
      <c r="H41" s="1708">
        <f t="shared" si="2"/>
        <v>0</v>
      </c>
      <c r="I41" s="1708">
        <f t="shared" si="2"/>
        <v>0</v>
      </c>
      <c r="J41" s="1708">
        <f t="shared" si="2"/>
        <v>99880</v>
      </c>
      <c r="K41" s="1708">
        <f t="shared" si="2"/>
        <v>0</v>
      </c>
      <c r="L41" s="1708">
        <f t="shared" si="2"/>
        <v>32132</v>
      </c>
      <c r="M41" s="1708">
        <f>SUM(M40)</f>
        <v>576236</v>
      </c>
      <c r="N41" s="1708">
        <f>SUM(N37)</f>
        <v>0</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25" sqref="A25:H25"/>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267" t="s">
        <v>1751</v>
      </c>
      <c r="B1" s="452"/>
      <c r="C1" s="502" t="s">
        <v>445</v>
      </c>
      <c r="D1" s="502" t="s">
        <v>446</v>
      </c>
      <c r="E1" s="502" t="s">
        <v>447</v>
      </c>
      <c r="F1" s="502" t="s">
        <v>448</v>
      </c>
      <c r="G1" s="502" t="s">
        <v>449</v>
      </c>
      <c r="H1" s="502" t="s">
        <v>450</v>
      </c>
      <c r="I1" s="502" t="s">
        <v>451</v>
      </c>
      <c r="J1" s="502" t="s">
        <v>452</v>
      </c>
      <c r="K1" s="502" t="s">
        <v>780</v>
      </c>
      <c r="L1" s="499"/>
    </row>
    <row r="2" spans="1:13" s="503" customFormat="1" ht="37.700000000000003" customHeight="1" x14ac:dyDescent="0.2">
      <c r="A2" s="2268"/>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279" t="s">
        <v>1237</v>
      </c>
      <c r="B3" s="2280"/>
      <c r="C3" s="1593"/>
      <c r="D3" s="1594"/>
      <c r="E3" s="1594"/>
      <c r="F3" s="1594"/>
      <c r="G3" s="1594"/>
      <c r="H3" s="1594"/>
      <c r="I3" s="1594"/>
      <c r="J3" s="1594"/>
      <c r="K3" s="1595"/>
      <c r="L3" s="504"/>
    </row>
    <row r="4" spans="1:13" ht="15.95" customHeight="1" x14ac:dyDescent="0.2">
      <c r="A4" s="1952" t="s">
        <v>1579</v>
      </c>
      <c r="B4" s="1953">
        <v>1000</v>
      </c>
      <c r="C4" s="1762">
        <f>'Revenues 9-14'!C109</f>
        <v>5008890</v>
      </c>
      <c r="D4" s="1762">
        <f>'Revenues 9-14'!D109</f>
        <v>0</v>
      </c>
      <c r="E4" s="1762">
        <f>'Revenues 9-14'!E109</f>
        <v>0</v>
      </c>
      <c r="F4" s="1762">
        <f>'Revenues 9-14'!F109</f>
        <v>0</v>
      </c>
      <c r="G4" s="1762">
        <f>'Revenues 9-14'!G109</f>
        <v>0</v>
      </c>
      <c r="H4" s="1762">
        <f>'Revenues 9-14'!H109</f>
        <v>0</v>
      </c>
      <c r="I4" s="1762">
        <f>'Revenues 9-14'!I109</f>
        <v>0</v>
      </c>
      <c r="J4" s="1762">
        <f>'Revenues 9-14'!J109</f>
        <v>72213</v>
      </c>
      <c r="K4" s="1762">
        <f>'Revenues 9-14'!K109</f>
        <v>0</v>
      </c>
      <c r="L4" s="347"/>
    </row>
    <row r="5" spans="1:13" ht="15.95" customHeight="1" x14ac:dyDescent="0.2">
      <c r="A5" s="1596" t="s">
        <v>1580</v>
      </c>
      <c r="B5" s="1597">
        <v>2000</v>
      </c>
      <c r="C5" s="1763">
        <f>'Revenues 9-14'!C114</f>
        <v>0</v>
      </c>
      <c r="D5" s="1763">
        <f>'Revenues 9-14'!D114</f>
        <v>0</v>
      </c>
      <c r="E5" s="506"/>
      <c r="F5" s="1763">
        <f>'Revenues 9-14'!F114</f>
        <v>0</v>
      </c>
      <c r="G5" s="1763">
        <f>'Revenues 9-14'!G114</f>
        <v>0</v>
      </c>
      <c r="H5" s="507" t="s">
        <v>1231</v>
      </c>
      <c r="I5" s="508" t="s">
        <v>1231</v>
      </c>
      <c r="J5" s="509" t="s">
        <v>1231</v>
      </c>
      <c r="K5" s="510" t="s">
        <v>1231</v>
      </c>
      <c r="L5" s="347"/>
    </row>
    <row r="6" spans="1:13" ht="15.95" customHeight="1" x14ac:dyDescent="0.2">
      <c r="A6" s="1596" t="s">
        <v>1581</v>
      </c>
      <c r="B6" s="1598">
        <v>3000</v>
      </c>
      <c r="C6" s="1763">
        <f>'Revenues 9-14'!C173</f>
        <v>1392132</v>
      </c>
      <c r="D6" s="1763">
        <f>'Revenues 9-14'!D173</f>
        <v>0</v>
      </c>
      <c r="E6" s="1763">
        <f>'Revenues 9-14'!E173</f>
        <v>0</v>
      </c>
      <c r="F6" s="1763">
        <f>'Revenues 9-14'!F173</f>
        <v>0</v>
      </c>
      <c r="G6" s="1763">
        <f>'Revenues 9-14'!G173</f>
        <v>0</v>
      </c>
      <c r="H6" s="1763">
        <f>'Revenues 9-14'!H173</f>
        <v>0</v>
      </c>
      <c r="I6" s="1763">
        <f>'Revenues 9-14'!I173</f>
        <v>0</v>
      </c>
      <c r="J6" s="1763">
        <f>'Revenues 9-14'!J173</f>
        <v>0</v>
      </c>
      <c r="K6" s="1763">
        <f>'Revenues 9-14'!K173</f>
        <v>0</v>
      </c>
      <c r="L6" s="347"/>
      <c r="M6" s="511"/>
    </row>
    <row r="7" spans="1:13" ht="15.95" customHeight="1" x14ac:dyDescent="0.2">
      <c r="A7" s="1596" t="s">
        <v>1582</v>
      </c>
      <c r="B7" s="1598">
        <v>4000</v>
      </c>
      <c r="C7" s="1763">
        <f>'Revenues 9-14'!C274</f>
        <v>1755933</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1"/>
    </row>
    <row r="8" spans="1:13" ht="13.5" thickBot="1" x14ac:dyDescent="0.25">
      <c r="A8" s="1756" t="s">
        <v>1234</v>
      </c>
      <c r="B8" s="1729"/>
      <c r="C8" s="1708">
        <f>SUM(C4:C7)</f>
        <v>8156955</v>
      </c>
      <c r="D8" s="1708">
        <f t="shared" ref="D8:K8" si="0">SUM(D4:D7)</f>
        <v>0</v>
      </c>
      <c r="E8" s="1708">
        <f t="shared" si="0"/>
        <v>0</v>
      </c>
      <c r="F8" s="1708">
        <f t="shared" si="0"/>
        <v>0</v>
      </c>
      <c r="G8" s="1708">
        <f t="shared" si="0"/>
        <v>0</v>
      </c>
      <c r="H8" s="1708">
        <f t="shared" si="0"/>
        <v>0</v>
      </c>
      <c r="I8" s="1708">
        <f t="shared" si="0"/>
        <v>0</v>
      </c>
      <c r="J8" s="1708">
        <f t="shared" si="0"/>
        <v>72213</v>
      </c>
      <c r="K8" s="1708">
        <f t="shared" si="0"/>
        <v>0</v>
      </c>
      <c r="L8" s="347"/>
    </row>
    <row r="9" spans="1:13" ht="15.75" thickTop="1" x14ac:dyDescent="0.2">
      <c r="A9" s="512" t="s">
        <v>1752</v>
      </c>
      <c r="B9" s="513">
        <v>3998</v>
      </c>
      <c r="C9" s="465">
        <v>3496395</v>
      </c>
      <c r="D9" s="514"/>
      <c r="E9" s="480"/>
      <c r="F9" s="480"/>
      <c r="G9" s="515"/>
      <c r="H9" s="480"/>
      <c r="I9" s="507" t="s">
        <v>1231</v>
      </c>
      <c r="J9" s="477"/>
      <c r="K9" s="480"/>
      <c r="L9" s="347"/>
    </row>
    <row r="10" spans="1:13" s="517" customFormat="1" ht="13.5" thickBot="1" x14ac:dyDescent="0.25">
      <c r="A10" s="1756" t="s">
        <v>1235</v>
      </c>
      <c r="B10" s="1729"/>
      <c r="C10" s="1708">
        <f>SUM(C8:C9)</f>
        <v>11653350</v>
      </c>
      <c r="D10" s="1708">
        <f t="shared" ref="D10:K10" si="1">SUM(D8:D9)</f>
        <v>0</v>
      </c>
      <c r="E10" s="1708">
        <f t="shared" si="1"/>
        <v>0</v>
      </c>
      <c r="F10" s="1708">
        <f t="shared" si="1"/>
        <v>0</v>
      </c>
      <c r="G10" s="1708">
        <f t="shared" si="1"/>
        <v>0</v>
      </c>
      <c r="H10" s="1708">
        <f t="shared" si="1"/>
        <v>0</v>
      </c>
      <c r="I10" s="1708">
        <f t="shared" si="1"/>
        <v>0</v>
      </c>
      <c r="J10" s="1708">
        <f t="shared" si="1"/>
        <v>72213</v>
      </c>
      <c r="K10" s="1708">
        <f t="shared" si="1"/>
        <v>0</v>
      </c>
      <c r="L10" s="516"/>
    </row>
    <row r="11" spans="1:13" s="517" customFormat="1" ht="16.7" customHeight="1" thickTop="1" x14ac:dyDescent="0.2">
      <c r="A11" s="2253" t="s">
        <v>1238</v>
      </c>
      <c r="B11" s="2254"/>
      <c r="C11" s="1590"/>
      <c r="D11" s="1591"/>
      <c r="E11" s="1591"/>
      <c r="F11" s="1591"/>
      <c r="G11" s="1591"/>
      <c r="H11" s="1591"/>
      <c r="I11" s="1591"/>
      <c r="J11" s="1591"/>
      <c r="K11" s="1592"/>
      <c r="L11" s="516"/>
    </row>
    <row r="12" spans="1:13" ht="15.95" customHeight="1" x14ac:dyDescent="0.2">
      <c r="A12" s="1596" t="s">
        <v>476</v>
      </c>
      <c r="B12" s="1598">
        <v>1000</v>
      </c>
      <c r="C12" s="1762">
        <f>'Expenditures 15-22'!K33</f>
        <v>4337762</v>
      </c>
      <c r="D12" s="518" t="s">
        <v>1231</v>
      </c>
      <c r="E12" s="468" t="s">
        <v>1231</v>
      </c>
      <c r="F12" s="468" t="s">
        <v>1231</v>
      </c>
      <c r="G12" s="1762">
        <f>'Expenditures 15-22'!K229</f>
        <v>0</v>
      </c>
      <c r="H12" s="519"/>
      <c r="I12" s="468" t="s">
        <v>1231</v>
      </c>
      <c r="J12" s="468" t="s">
        <v>1231</v>
      </c>
      <c r="K12" s="519" t="s">
        <v>1231</v>
      </c>
      <c r="L12" s="347"/>
    </row>
    <row r="13" spans="1:13" ht="15.95" customHeight="1" x14ac:dyDescent="0.2">
      <c r="A13" s="1596" t="s">
        <v>477</v>
      </c>
      <c r="B13" s="1598">
        <v>2000</v>
      </c>
      <c r="C13" s="1763">
        <f>'Expenditures 15-22'!K74</f>
        <v>3436841</v>
      </c>
      <c r="D13" s="1763">
        <f>'Expenditures 15-22'!K129</f>
        <v>0</v>
      </c>
      <c r="E13" s="469" t="s">
        <v>1231</v>
      </c>
      <c r="F13" s="1763">
        <f>'Expenditures 15-22'!K184</f>
        <v>0</v>
      </c>
      <c r="G13" s="1763">
        <f>'Expenditures 15-22'!K279</f>
        <v>0</v>
      </c>
      <c r="H13" s="1763">
        <f>'Expenditures 15-22'!K303</f>
        <v>0</v>
      </c>
      <c r="I13" s="468" t="s">
        <v>1231</v>
      </c>
      <c r="J13" s="1763">
        <f>'Expenditures 15-22'!K330</f>
        <v>53580</v>
      </c>
      <c r="K13" s="1767">
        <f>'Expenditures 15-22'!K352</f>
        <v>0</v>
      </c>
      <c r="L13" s="347"/>
    </row>
    <row r="14" spans="1:13" ht="15.95" customHeight="1" x14ac:dyDescent="0.2">
      <c r="A14" s="1596" t="s">
        <v>469</v>
      </c>
      <c r="B14" s="1598">
        <v>3000</v>
      </c>
      <c r="C14" s="1763">
        <f>'Expenditures 15-22'!K75</f>
        <v>23274</v>
      </c>
      <c r="D14" s="1763">
        <f>'Expenditures 15-22'!K130</f>
        <v>0</v>
      </c>
      <c r="E14" s="518" t="s">
        <v>1231</v>
      </c>
      <c r="F14" s="1763">
        <f>'Expenditures 15-22'!K185</f>
        <v>0</v>
      </c>
      <c r="G14" s="1763">
        <f>'Expenditures 15-22'!K280</f>
        <v>0</v>
      </c>
      <c r="H14" s="510"/>
      <c r="I14" s="468" t="s">
        <v>1231</v>
      </c>
      <c r="J14" s="468" t="s">
        <v>1231</v>
      </c>
      <c r="K14" s="510" t="s">
        <v>1231</v>
      </c>
      <c r="L14" s="347"/>
    </row>
    <row r="15" spans="1:13" ht="15.95" customHeight="1" x14ac:dyDescent="0.2">
      <c r="A15" s="1596" t="s">
        <v>109</v>
      </c>
      <c r="B15" s="1598">
        <v>4000</v>
      </c>
      <c r="C15" s="1763">
        <f>'Expenditures 15-22'!K102</f>
        <v>130289</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95" customHeight="1" x14ac:dyDescent="0.2">
      <c r="A16" s="1596" t="s">
        <v>470</v>
      </c>
      <c r="B16" s="1598">
        <v>5000</v>
      </c>
      <c r="C16" s="1763">
        <f>'Expenditures 15-22'!K112</f>
        <v>0</v>
      </c>
      <c r="D16" s="1763">
        <f>'Expenditures 15-22'!K149</f>
        <v>0</v>
      </c>
      <c r="E16" s="1763">
        <f>'Expenditures 15-22'!K172</f>
        <v>0</v>
      </c>
      <c r="F16" s="1763">
        <f>'Expenditures 15-22'!K208</f>
        <v>0</v>
      </c>
      <c r="G16" s="1763">
        <f>'Expenditures 15-22'!K293</f>
        <v>0</v>
      </c>
      <c r="H16" s="521"/>
      <c r="I16" s="468" t="s">
        <v>1231</v>
      </c>
      <c r="J16" s="1768">
        <f>'Expenditures 15-22'!K340</f>
        <v>0</v>
      </c>
      <c r="K16" s="1763">
        <f>'Expenditures 15-22'!K365</f>
        <v>0</v>
      </c>
      <c r="L16" s="347"/>
    </row>
    <row r="17" spans="1:12" ht="13.5" thickBot="1" x14ac:dyDescent="0.25">
      <c r="A17" s="1728" t="s">
        <v>50</v>
      </c>
      <c r="B17" s="1729"/>
      <c r="C17" s="1708">
        <f t="shared" ref="C17:H17" si="2">SUM(C12:C16)</f>
        <v>7928166</v>
      </c>
      <c r="D17" s="1708">
        <f t="shared" si="2"/>
        <v>0</v>
      </c>
      <c r="E17" s="1708">
        <f t="shared" si="2"/>
        <v>0</v>
      </c>
      <c r="F17" s="1708">
        <f t="shared" si="2"/>
        <v>0</v>
      </c>
      <c r="G17" s="1708">
        <f t="shared" si="2"/>
        <v>0</v>
      </c>
      <c r="H17" s="1708">
        <f t="shared" si="2"/>
        <v>0</v>
      </c>
      <c r="I17" s="468"/>
      <c r="J17" s="1708">
        <f>SUM(J12:J16)</f>
        <v>53580</v>
      </c>
      <c r="K17" s="1708">
        <f>SUM(K12:K16)</f>
        <v>0</v>
      </c>
      <c r="L17" s="347"/>
    </row>
    <row r="18" spans="1:12" ht="15" customHeight="1" thickTop="1" x14ac:dyDescent="0.2">
      <c r="A18" s="1764" t="s">
        <v>1753</v>
      </c>
      <c r="B18" s="1765">
        <v>4180</v>
      </c>
      <c r="C18" s="1762">
        <f t="shared" ref="C18:H18" si="3">C9</f>
        <v>3496395</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11424561</v>
      </c>
      <c r="D19" s="1708">
        <f t="shared" si="4"/>
        <v>0</v>
      </c>
      <c r="E19" s="1708">
        <f t="shared" si="4"/>
        <v>0</v>
      </c>
      <c r="F19" s="1708">
        <f t="shared" si="4"/>
        <v>0</v>
      </c>
      <c r="G19" s="1708">
        <f t="shared" si="4"/>
        <v>0</v>
      </c>
      <c r="H19" s="1708">
        <f t="shared" si="4"/>
        <v>0</v>
      </c>
      <c r="I19" s="468"/>
      <c r="J19" s="1708">
        <f>SUM(J17:J18)</f>
        <v>53580</v>
      </c>
      <c r="K19" s="1708">
        <f>SUM(K17:K18)</f>
        <v>0</v>
      </c>
      <c r="L19" s="347"/>
    </row>
    <row r="20" spans="1:12" ht="16.5" thickTop="1" thickBot="1" x14ac:dyDescent="0.25">
      <c r="A20" s="2269" t="s">
        <v>1754</v>
      </c>
      <c r="B20" s="2270"/>
      <c r="C20" s="1766">
        <f>C8-C17</f>
        <v>228789</v>
      </c>
      <c r="D20" s="1766">
        <f t="shared" ref="D20:K20" si="5">D8-D17</f>
        <v>0</v>
      </c>
      <c r="E20" s="1766">
        <f t="shared" si="5"/>
        <v>0</v>
      </c>
      <c r="F20" s="1766">
        <f t="shared" si="5"/>
        <v>0</v>
      </c>
      <c r="G20" s="1766">
        <f t="shared" si="5"/>
        <v>0</v>
      </c>
      <c r="H20" s="1766">
        <f t="shared" si="5"/>
        <v>0</v>
      </c>
      <c r="I20" s="1766">
        <f t="shared" si="5"/>
        <v>0</v>
      </c>
      <c r="J20" s="1766">
        <f t="shared" si="5"/>
        <v>18633</v>
      </c>
      <c r="K20" s="1766">
        <f t="shared" si="5"/>
        <v>0</v>
      </c>
      <c r="L20" s="347"/>
    </row>
    <row r="21" spans="1:12" ht="16.7" customHeight="1" thickTop="1" x14ac:dyDescent="0.2">
      <c r="A21" s="2281" t="s">
        <v>616</v>
      </c>
      <c r="B21" s="2282"/>
      <c r="C21" s="1590"/>
      <c r="D21" s="1591"/>
      <c r="E21" s="1591"/>
      <c r="F21" s="1591"/>
      <c r="G21" s="1591"/>
      <c r="H21" s="1591"/>
      <c r="I21" s="1591"/>
      <c r="J21" s="1591"/>
      <c r="K21" s="1592"/>
      <c r="L21" s="522"/>
    </row>
    <row r="22" spans="1:12" ht="15.95" customHeight="1" collapsed="1" x14ac:dyDescent="0.2">
      <c r="A22" s="2277" t="s">
        <v>617</v>
      </c>
      <c r="B22" s="2278"/>
      <c r="C22" s="476"/>
      <c r="D22" s="476"/>
      <c r="E22" s="476"/>
      <c r="F22" s="476"/>
      <c r="G22" s="476"/>
      <c r="H22" s="476"/>
      <c r="I22" s="476"/>
      <c r="J22" s="476"/>
      <c r="K22" s="476"/>
      <c r="L22" s="347"/>
    </row>
    <row r="23" spans="1:12" s="484" customFormat="1" ht="15.95" customHeight="1" x14ac:dyDescent="0.2">
      <c r="A23" s="2273" t="s">
        <v>311</v>
      </c>
      <c r="B23" s="2274"/>
      <c r="C23" s="479"/>
      <c r="D23" s="476"/>
      <c r="E23" s="476"/>
      <c r="F23" s="476"/>
      <c r="G23" s="476"/>
      <c r="H23" s="476"/>
      <c r="I23" s="476"/>
      <c r="J23" s="476"/>
      <c r="K23" s="476"/>
      <c r="L23" s="522"/>
    </row>
    <row r="24" spans="1:12" s="484" customFormat="1" ht="13.5" customHeight="1" x14ac:dyDescent="0.2">
      <c r="A24" s="1509" t="s">
        <v>1755</v>
      </c>
      <c r="B24" s="523">
        <v>7110</v>
      </c>
      <c r="C24" s="465">
        <v>0</v>
      </c>
      <c r="D24" s="476"/>
      <c r="E24" s="476"/>
      <c r="F24" s="476"/>
      <c r="G24" s="476"/>
      <c r="H24" s="476"/>
      <c r="I24" s="476"/>
      <c r="J24" s="476"/>
      <c r="K24" s="476"/>
      <c r="L24" s="522"/>
    </row>
    <row r="25" spans="1:12" s="484" customFormat="1" ht="13.5" customHeight="1" x14ac:dyDescent="0.2">
      <c r="A25" s="1509" t="s">
        <v>1756</v>
      </c>
      <c r="B25" s="523">
        <v>7110</v>
      </c>
      <c r="C25" s="465">
        <v>0</v>
      </c>
      <c r="D25" s="467">
        <v>0</v>
      </c>
      <c r="E25" s="467">
        <v>0</v>
      </c>
      <c r="F25" s="467">
        <v>0</v>
      </c>
      <c r="G25" s="467">
        <v>0</v>
      </c>
      <c r="H25" s="467">
        <v>0</v>
      </c>
      <c r="I25" s="476"/>
      <c r="J25" s="467">
        <v>0</v>
      </c>
      <c r="K25" s="467">
        <v>0</v>
      </c>
      <c r="L25" s="522"/>
    </row>
    <row r="26" spans="1:12" s="484" customFormat="1" ht="13.5" customHeight="1" x14ac:dyDescent="0.2">
      <c r="A26" s="1509"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9" t="s">
        <v>194</v>
      </c>
      <c r="B27" s="482">
        <v>7130</v>
      </c>
      <c r="C27" s="465">
        <v>0</v>
      </c>
      <c r="D27" s="467">
        <v>0</v>
      </c>
      <c r="E27" s="524"/>
      <c r="F27" s="467">
        <v>0</v>
      </c>
      <c r="G27" s="479"/>
      <c r="H27" s="479"/>
      <c r="I27" s="479"/>
      <c r="J27" s="479"/>
      <c r="K27" s="479"/>
      <c r="L27" s="522"/>
    </row>
    <row r="28" spans="1:12" s="484" customFormat="1" ht="13.5" customHeight="1" x14ac:dyDescent="0.2">
      <c r="A28" s="1509"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9" t="s">
        <v>312</v>
      </c>
      <c r="B29" s="482">
        <v>7150</v>
      </c>
      <c r="C29" s="475"/>
      <c r="D29" s="467">
        <v>0</v>
      </c>
      <c r="E29" s="475"/>
      <c r="F29" s="475"/>
      <c r="G29" s="475"/>
      <c r="H29" s="475"/>
      <c r="I29" s="475"/>
      <c r="J29" s="475"/>
      <c r="K29" s="475"/>
      <c r="L29" s="522"/>
    </row>
    <row r="30" spans="1:12" s="484" customFormat="1" ht="26.25" x14ac:dyDescent="0.2">
      <c r="A30" s="1509" t="s">
        <v>1894</v>
      </c>
      <c r="B30" s="525">
        <v>7160</v>
      </c>
      <c r="C30" s="476"/>
      <c r="D30" s="467">
        <v>0</v>
      </c>
      <c r="E30" s="476"/>
      <c r="F30" s="476"/>
      <c r="G30" s="476"/>
      <c r="H30" s="476"/>
      <c r="I30" s="476"/>
      <c r="J30" s="476"/>
      <c r="K30" s="476"/>
      <c r="L30" s="522"/>
    </row>
    <row r="31" spans="1:12" s="484" customFormat="1" ht="26.25" x14ac:dyDescent="0.2">
      <c r="A31" s="1509" t="s">
        <v>1898</v>
      </c>
      <c r="B31" s="525">
        <v>7170</v>
      </c>
      <c r="C31" s="476"/>
      <c r="D31" s="476"/>
      <c r="E31" s="474">
        <v>0</v>
      </c>
      <c r="F31" s="476"/>
      <c r="G31" s="476"/>
      <c r="H31" s="476"/>
      <c r="I31" s="476"/>
      <c r="J31" s="476"/>
      <c r="K31" s="476"/>
      <c r="L31" s="522"/>
    </row>
    <row r="32" spans="1:12" s="484" customFormat="1" ht="15.95" customHeight="1" x14ac:dyDescent="0.2">
      <c r="A32" s="2275" t="s">
        <v>1038</v>
      </c>
      <c r="B32" s="2276"/>
      <c r="C32" s="476"/>
      <c r="D32" s="476"/>
      <c r="E32" s="475"/>
      <c r="F32" s="476"/>
      <c r="G32" s="476"/>
      <c r="H32" s="476"/>
      <c r="I32" s="476"/>
      <c r="J32" s="476"/>
      <c r="K32" s="476"/>
      <c r="L32" s="522"/>
    </row>
    <row r="33" spans="1:12" s="484" customFormat="1" x14ac:dyDescent="0.2">
      <c r="A33" s="1509" t="s">
        <v>432</v>
      </c>
      <c r="B33" s="523">
        <v>7210</v>
      </c>
      <c r="C33" s="465">
        <v>0</v>
      </c>
      <c r="D33" s="467">
        <v>0</v>
      </c>
      <c r="E33" s="467">
        <v>0</v>
      </c>
      <c r="F33" s="467">
        <v>0</v>
      </c>
      <c r="G33" s="476"/>
      <c r="H33" s="467">
        <v>0</v>
      </c>
      <c r="I33" s="467">
        <v>0</v>
      </c>
      <c r="J33" s="467">
        <v>0</v>
      </c>
      <c r="K33" s="467">
        <v>0</v>
      </c>
      <c r="L33" s="522"/>
    </row>
    <row r="34" spans="1:12" s="484" customFormat="1" x14ac:dyDescent="0.2">
      <c r="A34" s="1509" t="s">
        <v>1058</v>
      </c>
      <c r="B34" s="523">
        <v>7220</v>
      </c>
      <c r="C34" s="465">
        <v>0</v>
      </c>
      <c r="D34" s="467">
        <v>0</v>
      </c>
      <c r="E34" s="467">
        <v>0</v>
      </c>
      <c r="F34" s="467">
        <v>0</v>
      </c>
      <c r="G34" s="476"/>
      <c r="H34" s="477">
        <v>0</v>
      </c>
      <c r="I34" s="477">
        <v>0</v>
      </c>
      <c r="J34" s="477">
        <v>0</v>
      </c>
      <c r="K34" s="477">
        <v>0</v>
      </c>
      <c r="L34" s="522"/>
    </row>
    <row r="35" spans="1:12" s="484" customFormat="1" x14ac:dyDescent="0.2">
      <c r="A35" s="1509" t="s">
        <v>1047</v>
      </c>
      <c r="B35" s="523">
        <v>7230</v>
      </c>
      <c r="C35" s="465">
        <v>0</v>
      </c>
      <c r="D35" s="467">
        <v>0</v>
      </c>
      <c r="E35" s="467">
        <v>0</v>
      </c>
      <c r="F35" s="467">
        <v>0</v>
      </c>
      <c r="G35" s="479"/>
      <c r="H35" s="467">
        <v>0</v>
      </c>
      <c r="I35" s="467">
        <v>0</v>
      </c>
      <c r="J35" s="467">
        <v>0</v>
      </c>
      <c r="K35" s="467">
        <v>0</v>
      </c>
      <c r="L35" s="522"/>
    </row>
    <row r="36" spans="1:12" s="484" customFormat="1" ht="15" x14ac:dyDescent="0.2">
      <c r="A36" s="1509" t="s">
        <v>1757</v>
      </c>
      <c r="B36" s="523">
        <v>7300</v>
      </c>
      <c r="C36" s="465">
        <v>0</v>
      </c>
      <c r="D36" s="467">
        <v>0</v>
      </c>
      <c r="E36" s="467">
        <v>0</v>
      </c>
      <c r="F36" s="467">
        <v>0</v>
      </c>
      <c r="G36" s="467">
        <v>0</v>
      </c>
      <c r="H36" s="467">
        <v>0</v>
      </c>
      <c r="I36" s="475"/>
      <c r="J36" s="467">
        <v>0</v>
      </c>
      <c r="K36" s="467">
        <v>0</v>
      </c>
      <c r="L36" s="522"/>
    </row>
    <row r="37" spans="1:12" s="484" customFormat="1" x14ac:dyDescent="0.2">
      <c r="A37" s="1509" t="s">
        <v>461</v>
      </c>
      <c r="B37" s="523">
        <v>7400</v>
      </c>
      <c r="C37" s="475"/>
      <c r="D37" s="475"/>
      <c r="E37" s="1763">
        <f>SUM(C54:D57,H54:H57)</f>
        <v>0</v>
      </c>
      <c r="F37" s="475"/>
      <c r="G37" s="475"/>
      <c r="H37" s="475"/>
      <c r="I37" s="476"/>
      <c r="J37" s="475"/>
      <c r="K37" s="475"/>
      <c r="L37" s="522"/>
    </row>
    <row r="38" spans="1:12" s="484" customFormat="1" x14ac:dyDescent="0.2">
      <c r="A38" s="1509" t="s">
        <v>462</v>
      </c>
      <c r="B38" s="523">
        <v>7500</v>
      </c>
      <c r="C38" s="476"/>
      <c r="D38" s="476"/>
      <c r="E38" s="1763">
        <f>SUM(C58:D61,H58:H61)</f>
        <v>0</v>
      </c>
      <c r="F38" s="476"/>
      <c r="G38" s="476"/>
      <c r="H38" s="476"/>
      <c r="I38" s="476"/>
      <c r="J38" s="476"/>
      <c r="K38" s="476"/>
      <c r="L38" s="522"/>
    </row>
    <row r="39" spans="1:12" s="484" customFormat="1" x14ac:dyDescent="0.2">
      <c r="A39" s="1509" t="s">
        <v>463</v>
      </c>
      <c r="B39" s="523">
        <v>7600</v>
      </c>
      <c r="C39" s="476"/>
      <c r="D39" s="476"/>
      <c r="E39" s="1763">
        <f>SUM(C62:D65)</f>
        <v>0</v>
      </c>
      <c r="F39" s="476"/>
      <c r="G39" s="476"/>
      <c r="H39" s="476"/>
      <c r="I39" s="476"/>
      <c r="J39" s="476"/>
      <c r="K39" s="476"/>
      <c r="L39" s="522"/>
    </row>
    <row r="40" spans="1:12" s="484" customFormat="1" ht="13.5" customHeight="1" x14ac:dyDescent="0.2">
      <c r="A40" s="1509" t="s">
        <v>663</v>
      </c>
      <c r="B40" s="482">
        <v>7700</v>
      </c>
      <c r="C40" s="476"/>
      <c r="D40" s="476"/>
      <c r="E40" s="1763">
        <f>SUM(C66:D69)</f>
        <v>0</v>
      </c>
      <c r="F40" s="476"/>
      <c r="G40" s="476"/>
      <c r="H40" s="479"/>
      <c r="I40" s="476"/>
      <c r="J40" s="476"/>
      <c r="K40" s="476"/>
      <c r="L40" s="522"/>
    </row>
    <row r="41" spans="1:12" s="484" customFormat="1" ht="13.5" customHeight="1" x14ac:dyDescent="0.2">
      <c r="A41" s="1509" t="s">
        <v>661</v>
      </c>
      <c r="B41" s="482">
        <v>7800</v>
      </c>
      <c r="C41" s="479"/>
      <c r="D41" s="479"/>
      <c r="E41" s="524"/>
      <c r="F41" s="479"/>
      <c r="G41" s="479"/>
      <c r="H41" s="1763">
        <f>SUM(C70:D73)</f>
        <v>0</v>
      </c>
      <c r="I41" s="476"/>
      <c r="J41" s="476"/>
      <c r="K41" s="479"/>
      <c r="L41" s="522"/>
    </row>
    <row r="42" spans="1:12" s="484" customFormat="1" ht="13.5" customHeight="1" x14ac:dyDescent="0.2">
      <c r="A42" s="1509"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9" t="s">
        <v>391</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283" t="s">
        <v>392</v>
      </c>
      <c r="B44" s="2284"/>
      <c r="C44" s="1723">
        <f>SUM(C24:C43)</f>
        <v>0</v>
      </c>
      <c r="D44" s="1723">
        <f t="shared" ref="D44:K44" si="6">SUM(D24:D43)</f>
        <v>0</v>
      </c>
      <c r="E44" s="1723">
        <f t="shared" si="6"/>
        <v>0</v>
      </c>
      <c r="F44" s="1723">
        <f t="shared" si="6"/>
        <v>0</v>
      </c>
      <c r="G44" s="1723">
        <f t="shared" si="6"/>
        <v>0</v>
      </c>
      <c r="H44" s="1723">
        <f t="shared" si="6"/>
        <v>0</v>
      </c>
      <c r="I44" s="1723">
        <f t="shared" si="6"/>
        <v>0</v>
      </c>
      <c r="J44" s="1723">
        <f t="shared" si="6"/>
        <v>0</v>
      </c>
      <c r="K44" s="1723">
        <f t="shared" si="6"/>
        <v>0</v>
      </c>
      <c r="L44" s="522"/>
    </row>
    <row r="45" spans="1:12" ht="15.95" customHeight="1" thickTop="1" x14ac:dyDescent="0.2">
      <c r="A45" s="2277" t="s">
        <v>110</v>
      </c>
      <c r="B45" s="2278"/>
      <c r="C45" s="526"/>
      <c r="D45" s="526"/>
      <c r="E45" s="526"/>
      <c r="F45" s="526"/>
      <c r="G45" s="526"/>
      <c r="H45" s="526"/>
      <c r="I45" s="526"/>
      <c r="J45" s="526"/>
      <c r="K45" s="526"/>
      <c r="L45" s="347"/>
    </row>
    <row r="46" spans="1:12" s="484" customFormat="1" ht="15.95" customHeight="1" x14ac:dyDescent="0.2">
      <c r="A46" s="2285" t="s">
        <v>111</v>
      </c>
      <c r="B46" s="2286"/>
      <c r="C46" s="476"/>
      <c r="D46" s="476"/>
      <c r="E46" s="476"/>
      <c r="F46" s="476"/>
      <c r="G46" s="476"/>
      <c r="H46" s="476"/>
      <c r="I46" s="479"/>
      <c r="J46" s="476"/>
      <c r="K46" s="476"/>
      <c r="L46" s="527"/>
    </row>
    <row r="47" spans="1:12" s="484" customFormat="1" ht="15" x14ac:dyDescent="0.2">
      <c r="A47" s="1510" t="s">
        <v>1758</v>
      </c>
      <c r="B47" s="482">
        <v>8110</v>
      </c>
      <c r="C47" s="476"/>
      <c r="D47" s="476"/>
      <c r="E47" s="476"/>
      <c r="F47" s="476"/>
      <c r="G47" s="476"/>
      <c r="H47" s="476"/>
      <c r="I47" s="1763">
        <f>SUM(C24,C25:H25,J25:K25)</f>
        <v>0</v>
      </c>
      <c r="J47" s="476"/>
      <c r="K47" s="476"/>
      <c r="L47" s="527"/>
    </row>
    <row r="48" spans="1:12" s="484" customFormat="1" ht="15" x14ac:dyDescent="0.2">
      <c r="A48" s="1510" t="s">
        <v>1759</v>
      </c>
      <c r="B48" s="482">
        <v>8120</v>
      </c>
      <c r="C48" s="479"/>
      <c r="D48" s="479"/>
      <c r="E48" s="476"/>
      <c r="F48" s="479"/>
      <c r="G48" s="476"/>
      <c r="H48" s="476"/>
      <c r="I48" s="1763">
        <f>SUM(C26:H26,J26,K26)</f>
        <v>0</v>
      </c>
      <c r="J48" s="476"/>
      <c r="K48" s="476"/>
      <c r="L48" s="527"/>
    </row>
    <row r="49" spans="1:12" s="484" customFormat="1" x14ac:dyDescent="0.2">
      <c r="A49" s="1510" t="s">
        <v>194</v>
      </c>
      <c r="B49" s="482">
        <v>8130</v>
      </c>
      <c r="C49" s="465">
        <v>0</v>
      </c>
      <c r="D49" s="467">
        <v>0</v>
      </c>
      <c r="E49" s="479"/>
      <c r="F49" s="467">
        <v>0</v>
      </c>
      <c r="G49" s="479"/>
      <c r="H49" s="479"/>
      <c r="I49" s="476"/>
      <c r="J49" s="479"/>
      <c r="K49" s="476"/>
      <c r="L49" s="522"/>
    </row>
    <row r="50" spans="1:12" s="484" customFormat="1" x14ac:dyDescent="0.2">
      <c r="A50" s="1510" t="s">
        <v>1465</v>
      </c>
      <c r="B50" s="482">
        <v>8140</v>
      </c>
      <c r="C50" s="465">
        <v>0</v>
      </c>
      <c r="D50" s="467">
        <v>0</v>
      </c>
      <c r="E50" s="467">
        <v>0</v>
      </c>
      <c r="F50" s="467">
        <v>0</v>
      </c>
      <c r="G50" s="467">
        <v>0</v>
      </c>
      <c r="H50" s="467">
        <v>0</v>
      </c>
      <c r="I50" s="476"/>
      <c r="J50" s="467">
        <v>0</v>
      </c>
      <c r="K50" s="476"/>
      <c r="L50" s="522"/>
    </row>
    <row r="51" spans="1:12" s="484" customFormat="1" x14ac:dyDescent="0.2">
      <c r="A51" s="1510" t="s">
        <v>312</v>
      </c>
      <c r="B51" s="482">
        <v>8150</v>
      </c>
      <c r="C51" s="475"/>
      <c r="D51" s="475"/>
      <c r="E51" s="475"/>
      <c r="F51" s="475"/>
      <c r="G51" s="475"/>
      <c r="H51" s="1763">
        <f>SUM(D29)</f>
        <v>0</v>
      </c>
      <c r="I51" s="476"/>
      <c r="J51" s="475"/>
      <c r="K51" s="479"/>
      <c r="L51" s="522"/>
    </row>
    <row r="52" spans="1:12" s="484" customFormat="1" ht="26.25" x14ac:dyDescent="0.2">
      <c r="A52" s="1510" t="s">
        <v>1897</v>
      </c>
      <c r="B52" s="482">
        <v>8160</v>
      </c>
      <c r="C52" s="476"/>
      <c r="D52" s="476"/>
      <c r="E52" s="476"/>
      <c r="F52" s="476"/>
      <c r="G52" s="476"/>
      <c r="H52" s="476"/>
      <c r="I52" s="476"/>
      <c r="J52" s="476"/>
      <c r="K52" s="1763">
        <f>D30</f>
        <v>0</v>
      </c>
      <c r="L52" s="522"/>
    </row>
    <row r="53" spans="1:12" s="484" customFormat="1" ht="26.25" x14ac:dyDescent="0.2">
      <c r="A53" s="1510" t="s">
        <v>1896</v>
      </c>
      <c r="B53" s="482">
        <v>8170</v>
      </c>
      <c r="C53" s="479"/>
      <c r="D53" s="479"/>
      <c r="E53" s="476"/>
      <c r="F53" s="476"/>
      <c r="G53" s="476"/>
      <c r="H53" s="479"/>
      <c r="I53" s="476"/>
      <c r="J53" s="476"/>
      <c r="K53" s="1763">
        <f>E31</f>
        <v>0</v>
      </c>
      <c r="L53" s="522"/>
    </row>
    <row r="54" spans="1:12" s="484" customFormat="1" ht="13.5" thickBot="1" x14ac:dyDescent="0.25">
      <c r="A54" s="1510" t="s">
        <v>716</v>
      </c>
      <c r="B54" s="482">
        <v>8410</v>
      </c>
      <c r="C54" s="528">
        <v>0</v>
      </c>
      <c r="D54" s="528">
        <v>0</v>
      </c>
      <c r="E54" s="476"/>
      <c r="F54" s="476"/>
      <c r="G54" s="476"/>
      <c r="H54" s="528">
        <v>0</v>
      </c>
      <c r="I54" s="476"/>
      <c r="J54" s="476"/>
      <c r="K54" s="475"/>
      <c r="L54" s="522"/>
    </row>
    <row r="55" spans="1:12" s="484" customFormat="1" ht="14.25" thickTop="1" thickBot="1" x14ac:dyDescent="0.25">
      <c r="A55" s="1511" t="s">
        <v>717</v>
      </c>
      <c r="B55" s="482">
        <v>8420</v>
      </c>
      <c r="C55" s="528">
        <v>0</v>
      </c>
      <c r="D55" s="529">
        <v>0</v>
      </c>
      <c r="E55" s="476"/>
      <c r="F55" s="476"/>
      <c r="G55" s="476"/>
      <c r="H55" s="528">
        <v>0</v>
      </c>
      <c r="I55" s="476"/>
      <c r="J55" s="476"/>
      <c r="K55" s="476"/>
      <c r="L55" s="522"/>
    </row>
    <row r="56" spans="1:12" s="484" customFormat="1" ht="14.25" thickTop="1" thickBot="1" x14ac:dyDescent="0.25">
      <c r="A56" s="1510" t="s">
        <v>602</v>
      </c>
      <c r="B56" s="482">
        <v>8430</v>
      </c>
      <c r="C56" s="528">
        <v>0</v>
      </c>
      <c r="D56" s="529">
        <v>0</v>
      </c>
      <c r="E56" s="476"/>
      <c r="F56" s="476"/>
      <c r="G56" s="476"/>
      <c r="H56" s="528">
        <v>0</v>
      </c>
      <c r="I56" s="476"/>
      <c r="J56" s="476"/>
      <c r="K56" s="476"/>
      <c r="L56" s="522"/>
    </row>
    <row r="57" spans="1:12" s="484" customFormat="1" ht="14.25" thickTop="1" thickBot="1" x14ac:dyDescent="0.25">
      <c r="A57" s="1511" t="s">
        <v>599</v>
      </c>
      <c r="B57" s="482">
        <v>8440</v>
      </c>
      <c r="C57" s="528">
        <v>0</v>
      </c>
      <c r="D57" s="529">
        <v>0</v>
      </c>
      <c r="E57" s="476"/>
      <c r="F57" s="476"/>
      <c r="G57" s="476"/>
      <c r="H57" s="528">
        <v>0</v>
      </c>
      <c r="I57" s="476"/>
      <c r="J57" s="476"/>
      <c r="K57" s="476"/>
      <c r="L57" s="522"/>
    </row>
    <row r="58" spans="1:12" s="484" customFormat="1" ht="14.25" thickTop="1" thickBot="1" x14ac:dyDescent="0.25">
      <c r="A58" s="1510" t="s">
        <v>600</v>
      </c>
      <c r="B58" s="482">
        <v>8510</v>
      </c>
      <c r="C58" s="528">
        <v>0</v>
      </c>
      <c r="D58" s="529">
        <v>0</v>
      </c>
      <c r="E58" s="476"/>
      <c r="F58" s="476"/>
      <c r="G58" s="476"/>
      <c r="H58" s="528">
        <v>0</v>
      </c>
      <c r="I58" s="476"/>
      <c r="J58" s="476"/>
      <c r="K58" s="476"/>
      <c r="L58" s="522"/>
    </row>
    <row r="59" spans="1:12" s="484" customFormat="1" ht="14.25" thickTop="1" thickBot="1" x14ac:dyDescent="0.25">
      <c r="A59" s="1512" t="s">
        <v>718</v>
      </c>
      <c r="B59" s="482">
        <v>8520</v>
      </c>
      <c r="C59" s="528">
        <v>0</v>
      </c>
      <c r="D59" s="529">
        <v>0</v>
      </c>
      <c r="E59" s="476"/>
      <c r="F59" s="476"/>
      <c r="G59" s="476"/>
      <c r="H59" s="528">
        <v>0</v>
      </c>
      <c r="I59" s="476"/>
      <c r="J59" s="476"/>
      <c r="K59" s="476"/>
      <c r="L59" s="522"/>
    </row>
    <row r="60" spans="1:12" s="484" customFormat="1" ht="14.25" thickTop="1" thickBot="1" x14ac:dyDescent="0.25">
      <c r="A60" s="1510" t="s">
        <v>601</v>
      </c>
      <c r="B60" s="482">
        <v>8530</v>
      </c>
      <c r="C60" s="528">
        <v>0</v>
      </c>
      <c r="D60" s="529">
        <v>0</v>
      </c>
      <c r="E60" s="476"/>
      <c r="F60" s="476"/>
      <c r="G60" s="476"/>
      <c r="H60" s="528">
        <v>0</v>
      </c>
      <c r="I60" s="476"/>
      <c r="J60" s="476"/>
      <c r="K60" s="476"/>
      <c r="L60" s="522"/>
    </row>
    <row r="61" spans="1:12" s="484" customFormat="1" ht="14.25" thickTop="1" thickBot="1" x14ac:dyDescent="0.25">
      <c r="A61" s="1511" t="s">
        <v>767</v>
      </c>
      <c r="B61" s="482">
        <v>8540</v>
      </c>
      <c r="C61" s="528">
        <v>0</v>
      </c>
      <c r="D61" s="529">
        <v>0</v>
      </c>
      <c r="E61" s="476"/>
      <c r="F61" s="476"/>
      <c r="G61" s="476"/>
      <c r="H61" s="528">
        <v>0</v>
      </c>
      <c r="I61" s="476"/>
      <c r="J61" s="476"/>
      <c r="K61" s="476"/>
      <c r="L61" s="522"/>
    </row>
    <row r="62" spans="1:12" s="484" customFormat="1" ht="13.5" customHeight="1" thickTop="1" thickBot="1" x14ac:dyDescent="0.25">
      <c r="A62" s="1510" t="s">
        <v>768</v>
      </c>
      <c r="B62" s="482">
        <v>8610</v>
      </c>
      <c r="C62" s="528">
        <v>0</v>
      </c>
      <c r="D62" s="529">
        <v>0</v>
      </c>
      <c r="E62" s="476"/>
      <c r="F62" s="476"/>
      <c r="G62" s="476"/>
      <c r="H62" s="476"/>
      <c r="I62" s="476"/>
      <c r="J62" s="476"/>
      <c r="K62" s="476"/>
      <c r="L62" s="522"/>
    </row>
    <row r="63" spans="1:12" s="484" customFormat="1" ht="14.25" thickTop="1" thickBot="1" x14ac:dyDescent="0.25">
      <c r="A63" s="1511" t="s">
        <v>719</v>
      </c>
      <c r="B63" s="482">
        <v>8620</v>
      </c>
      <c r="C63" s="528">
        <v>0</v>
      </c>
      <c r="D63" s="529">
        <v>0</v>
      </c>
      <c r="E63" s="476"/>
      <c r="F63" s="476"/>
      <c r="G63" s="476"/>
      <c r="H63" s="476"/>
      <c r="I63" s="476"/>
      <c r="J63" s="476"/>
      <c r="K63" s="476"/>
      <c r="L63" s="522"/>
    </row>
    <row r="64" spans="1:12" s="484" customFormat="1" ht="13.5" customHeight="1" thickTop="1" thickBot="1" x14ac:dyDescent="0.25">
      <c r="A64" s="1510" t="s">
        <v>769</v>
      </c>
      <c r="B64" s="482">
        <v>8630</v>
      </c>
      <c r="C64" s="528">
        <v>0</v>
      </c>
      <c r="D64" s="529">
        <v>0</v>
      </c>
      <c r="E64" s="476"/>
      <c r="F64" s="476"/>
      <c r="G64" s="476"/>
      <c r="H64" s="476"/>
      <c r="I64" s="476"/>
      <c r="J64" s="476"/>
      <c r="K64" s="476"/>
      <c r="L64" s="522"/>
    </row>
    <row r="65" spans="1:12" s="484" customFormat="1" ht="14.25" thickTop="1" thickBot="1" x14ac:dyDescent="0.25">
      <c r="A65" s="1511" t="s">
        <v>770</v>
      </c>
      <c r="B65" s="482">
        <v>8640</v>
      </c>
      <c r="C65" s="528">
        <v>0</v>
      </c>
      <c r="D65" s="529">
        <v>0</v>
      </c>
      <c r="E65" s="476"/>
      <c r="F65" s="476"/>
      <c r="G65" s="476"/>
      <c r="H65" s="476"/>
      <c r="I65" s="476"/>
      <c r="J65" s="476"/>
      <c r="K65" s="476"/>
      <c r="L65" s="522"/>
    </row>
    <row r="66" spans="1:12" s="484" customFormat="1" ht="14.25" thickTop="1" thickBot="1" x14ac:dyDescent="0.25">
      <c r="A66" s="1510" t="s">
        <v>771</v>
      </c>
      <c r="B66" s="482">
        <v>8710</v>
      </c>
      <c r="C66" s="528">
        <v>0</v>
      </c>
      <c r="D66" s="529">
        <v>0</v>
      </c>
      <c r="E66" s="476"/>
      <c r="F66" s="476"/>
      <c r="G66" s="476"/>
      <c r="H66" s="476"/>
      <c r="I66" s="476"/>
      <c r="J66" s="476"/>
      <c r="K66" s="476"/>
      <c r="L66" s="522"/>
    </row>
    <row r="67" spans="1:12" s="484" customFormat="1" ht="14.25" thickTop="1" thickBot="1" x14ac:dyDescent="0.25">
      <c r="A67" s="1511" t="s">
        <v>720</v>
      </c>
      <c r="B67" s="482">
        <v>8720</v>
      </c>
      <c r="C67" s="528">
        <v>0</v>
      </c>
      <c r="D67" s="529">
        <v>0</v>
      </c>
      <c r="E67" s="476"/>
      <c r="F67" s="476"/>
      <c r="G67" s="476"/>
      <c r="H67" s="476"/>
      <c r="I67" s="476"/>
      <c r="J67" s="476"/>
      <c r="K67" s="476"/>
      <c r="L67" s="522"/>
    </row>
    <row r="68" spans="1:12" s="484" customFormat="1" ht="14.25" thickTop="1" thickBot="1" x14ac:dyDescent="0.25">
      <c r="A68" s="1512" t="s">
        <v>772</v>
      </c>
      <c r="B68" s="482">
        <v>8730</v>
      </c>
      <c r="C68" s="528">
        <v>0</v>
      </c>
      <c r="D68" s="529">
        <v>0</v>
      </c>
      <c r="E68" s="476"/>
      <c r="F68" s="476"/>
      <c r="G68" s="476"/>
      <c r="H68" s="476"/>
      <c r="I68" s="476"/>
      <c r="J68" s="476"/>
      <c r="K68" s="476"/>
      <c r="L68" s="522"/>
    </row>
    <row r="69" spans="1:12" s="484" customFormat="1" ht="14.25" thickTop="1" thickBot="1" x14ac:dyDescent="0.25">
      <c r="A69" s="1511" t="s">
        <v>773</v>
      </c>
      <c r="B69" s="482">
        <v>8740</v>
      </c>
      <c r="C69" s="528">
        <v>0</v>
      </c>
      <c r="D69" s="529">
        <v>0</v>
      </c>
      <c r="E69" s="476"/>
      <c r="F69" s="476"/>
      <c r="G69" s="476"/>
      <c r="H69" s="476"/>
      <c r="I69" s="476"/>
      <c r="J69" s="476"/>
      <c r="K69" s="476"/>
      <c r="L69" s="522"/>
    </row>
    <row r="70" spans="1:12" s="484" customFormat="1" ht="14.25" thickTop="1" thickBot="1" x14ac:dyDescent="0.25">
      <c r="A70" s="1510" t="s">
        <v>774</v>
      </c>
      <c r="B70" s="482">
        <v>8810</v>
      </c>
      <c r="C70" s="528">
        <v>0</v>
      </c>
      <c r="D70" s="529">
        <v>0</v>
      </c>
      <c r="E70" s="476"/>
      <c r="F70" s="476"/>
      <c r="G70" s="476"/>
      <c r="H70" s="476"/>
      <c r="I70" s="476"/>
      <c r="J70" s="476"/>
      <c r="K70" s="476"/>
      <c r="L70" s="522"/>
    </row>
    <row r="71" spans="1:12" s="484" customFormat="1" ht="14.25" thickTop="1" thickBot="1" x14ac:dyDescent="0.25">
      <c r="A71" s="1510" t="s">
        <v>778</v>
      </c>
      <c r="B71" s="482">
        <v>8820</v>
      </c>
      <c r="C71" s="528">
        <v>0</v>
      </c>
      <c r="D71" s="529">
        <v>0</v>
      </c>
      <c r="E71" s="476"/>
      <c r="F71" s="476"/>
      <c r="G71" s="476"/>
      <c r="H71" s="476"/>
      <c r="I71" s="476"/>
      <c r="J71" s="476"/>
      <c r="K71" s="476"/>
      <c r="L71" s="522"/>
    </row>
    <row r="72" spans="1:12" s="484" customFormat="1" ht="14.25" thickTop="1" thickBot="1" x14ac:dyDescent="0.25">
      <c r="A72" s="1510" t="s">
        <v>775</v>
      </c>
      <c r="B72" s="482">
        <v>8830</v>
      </c>
      <c r="C72" s="528">
        <v>0</v>
      </c>
      <c r="D72" s="529">
        <v>0</v>
      </c>
      <c r="E72" s="476"/>
      <c r="F72" s="476"/>
      <c r="G72" s="476"/>
      <c r="H72" s="476"/>
      <c r="I72" s="476"/>
      <c r="J72" s="476"/>
      <c r="K72" s="476"/>
      <c r="L72" s="522"/>
    </row>
    <row r="73" spans="1:12" s="484" customFormat="1" ht="14.25" thickTop="1" thickBot="1" x14ac:dyDescent="0.25">
      <c r="A73" s="1510" t="s">
        <v>776</v>
      </c>
      <c r="B73" s="482">
        <v>8840</v>
      </c>
      <c r="C73" s="528">
        <v>0</v>
      </c>
      <c r="D73" s="529">
        <v>0</v>
      </c>
      <c r="E73" s="476"/>
      <c r="F73" s="476"/>
      <c r="G73" s="476"/>
      <c r="H73" s="476"/>
      <c r="I73" s="476"/>
      <c r="J73" s="476"/>
      <c r="K73" s="479"/>
      <c r="L73" s="522"/>
    </row>
    <row r="74" spans="1:12" s="484" customFormat="1" ht="14.25" thickTop="1" thickBot="1" x14ac:dyDescent="0.25">
      <c r="A74" s="1510"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3"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259" t="s">
        <v>460</v>
      </c>
      <c r="B76" s="2260"/>
      <c r="C76" s="1723">
        <f t="shared" ref="C76:K76" si="7">SUM(C47:C75)</f>
        <v>0</v>
      </c>
      <c r="D76" s="1723">
        <f t="shared" si="7"/>
        <v>0</v>
      </c>
      <c r="E76" s="1723">
        <f t="shared" si="7"/>
        <v>0</v>
      </c>
      <c r="F76" s="1723">
        <f t="shared" si="7"/>
        <v>0</v>
      </c>
      <c r="G76" s="1723">
        <f t="shared" si="7"/>
        <v>0</v>
      </c>
      <c r="H76" s="1723">
        <f t="shared" si="7"/>
        <v>0</v>
      </c>
      <c r="I76" s="1723">
        <f t="shared" si="7"/>
        <v>0</v>
      </c>
      <c r="J76" s="1723">
        <f t="shared" si="7"/>
        <v>0</v>
      </c>
      <c r="K76" s="1723">
        <f t="shared" si="7"/>
        <v>0</v>
      </c>
      <c r="L76" s="522"/>
    </row>
    <row r="77" spans="1:12" ht="14.25" thickTop="1" thickBot="1" x14ac:dyDescent="0.25">
      <c r="A77" s="2261" t="s">
        <v>1239</v>
      </c>
      <c r="B77" s="2262"/>
      <c r="C77" s="1723">
        <f t="shared" ref="C77:K77" si="8">C44-C76</f>
        <v>0</v>
      </c>
      <c r="D77" s="1723">
        <f t="shared" si="8"/>
        <v>0</v>
      </c>
      <c r="E77" s="1723">
        <f t="shared" si="8"/>
        <v>0</v>
      </c>
      <c r="F77" s="1723">
        <f t="shared" si="8"/>
        <v>0</v>
      </c>
      <c r="G77" s="1723">
        <f t="shared" si="8"/>
        <v>0</v>
      </c>
      <c r="H77" s="1723">
        <f t="shared" si="8"/>
        <v>0</v>
      </c>
      <c r="I77" s="1723">
        <f t="shared" si="8"/>
        <v>0</v>
      </c>
      <c r="J77" s="1723">
        <f t="shared" si="8"/>
        <v>0</v>
      </c>
      <c r="K77" s="1723">
        <f t="shared" si="8"/>
        <v>0</v>
      </c>
      <c r="L77" s="347"/>
    </row>
    <row r="78" spans="1:12" ht="21.75" customHeight="1" thickTop="1" thickBot="1" x14ac:dyDescent="0.25">
      <c r="A78" s="2265" t="s">
        <v>618</v>
      </c>
      <c r="B78" s="2266"/>
      <c r="C78" s="1722">
        <f t="shared" ref="C78:K78" si="9">C20+C77</f>
        <v>228789</v>
      </c>
      <c r="D78" s="1722">
        <f t="shared" si="9"/>
        <v>0</v>
      </c>
      <c r="E78" s="1722">
        <f t="shared" si="9"/>
        <v>0</v>
      </c>
      <c r="F78" s="1722">
        <f t="shared" si="9"/>
        <v>0</v>
      </c>
      <c r="G78" s="1722">
        <f t="shared" si="9"/>
        <v>0</v>
      </c>
      <c r="H78" s="1722">
        <f t="shared" si="9"/>
        <v>0</v>
      </c>
      <c r="I78" s="1722">
        <f t="shared" si="9"/>
        <v>0</v>
      </c>
      <c r="J78" s="1722">
        <f t="shared" si="9"/>
        <v>18633</v>
      </c>
      <c r="K78" s="1722">
        <f t="shared" si="9"/>
        <v>0</v>
      </c>
      <c r="L78" s="531"/>
    </row>
    <row r="79" spans="1:12" ht="13.5" thickTop="1" x14ac:dyDescent="0.2">
      <c r="A79" s="1514" t="s">
        <v>2070</v>
      </c>
      <c r="B79" s="532"/>
      <c r="C79" s="467">
        <v>772307</v>
      </c>
      <c r="D79" s="467">
        <v>0</v>
      </c>
      <c r="E79" s="467">
        <v>0</v>
      </c>
      <c r="F79" s="467">
        <v>0</v>
      </c>
      <c r="G79" s="467">
        <v>0</v>
      </c>
      <c r="H79" s="467">
        <v>0</v>
      </c>
      <c r="I79" s="467">
        <v>0</v>
      </c>
      <c r="J79" s="467">
        <v>81247</v>
      </c>
      <c r="K79" s="467">
        <v>0</v>
      </c>
      <c r="L79" s="347"/>
    </row>
    <row r="80" spans="1:12" x14ac:dyDescent="0.2">
      <c r="A80" s="2271" t="s">
        <v>1895</v>
      </c>
      <c r="B80" s="2272"/>
      <c r="C80" s="467">
        <v>0</v>
      </c>
      <c r="D80" s="467">
        <v>0</v>
      </c>
      <c r="E80" s="467">
        <v>0</v>
      </c>
      <c r="F80" s="467">
        <v>0</v>
      </c>
      <c r="G80" s="467">
        <v>0</v>
      </c>
      <c r="H80" s="467">
        <v>0</v>
      </c>
      <c r="I80" s="467">
        <v>0</v>
      </c>
      <c r="J80" s="467">
        <v>0</v>
      </c>
      <c r="K80" s="467">
        <v>0</v>
      </c>
      <c r="L80" s="347"/>
    </row>
    <row r="81" spans="1:12" ht="13.5" thickBot="1" x14ac:dyDescent="0.25">
      <c r="A81" s="2263" t="s">
        <v>2071</v>
      </c>
      <c r="B81" s="2264"/>
      <c r="C81" s="1708">
        <f>(SUM(C78:C80))</f>
        <v>1001096</v>
      </c>
      <c r="D81" s="1708">
        <f>SUM(D78:D80)</f>
        <v>0</v>
      </c>
      <c r="E81" s="1708">
        <f t="shared" ref="E81:K81" si="10">SUM(E78:E80)</f>
        <v>0</v>
      </c>
      <c r="F81" s="1708">
        <f t="shared" si="10"/>
        <v>0</v>
      </c>
      <c r="G81" s="1708">
        <f t="shared" si="10"/>
        <v>0</v>
      </c>
      <c r="H81" s="1708">
        <f t="shared" si="10"/>
        <v>0</v>
      </c>
      <c r="I81" s="1708">
        <f t="shared" si="10"/>
        <v>0</v>
      </c>
      <c r="J81" s="1708">
        <f t="shared" si="10"/>
        <v>99880</v>
      </c>
      <c r="K81" s="1708">
        <f t="shared" si="10"/>
        <v>0</v>
      </c>
      <c r="L81" s="347"/>
    </row>
    <row r="82" spans="1:12" ht="0.75" customHeight="1" thickTop="1" thickBot="1" x14ac:dyDescent="0.25">
      <c r="A82" s="534" t="s">
        <v>361</v>
      </c>
      <c r="B82" s="535"/>
      <c r="C82" s="536">
        <f>(C81-C79)</f>
        <v>228789</v>
      </c>
      <c r="D82" s="536">
        <f t="shared" ref="D82:K82" si="11">(D81-D79)</f>
        <v>0</v>
      </c>
      <c r="E82" s="536">
        <f t="shared" si="11"/>
        <v>0</v>
      </c>
      <c r="F82" s="536">
        <f t="shared" si="11"/>
        <v>0</v>
      </c>
      <c r="G82" s="536">
        <f t="shared" si="11"/>
        <v>0</v>
      </c>
      <c r="H82" s="536">
        <f t="shared" si="11"/>
        <v>0</v>
      </c>
      <c r="I82" s="536">
        <f t="shared" si="11"/>
        <v>0</v>
      </c>
      <c r="J82" s="536">
        <f t="shared" si="11"/>
        <v>18633</v>
      </c>
      <c r="K82" s="536">
        <f t="shared" si="11"/>
        <v>0</v>
      </c>
    </row>
    <row r="83" spans="1:12" ht="14.25" hidden="1" thickTop="1" thickBot="1" x14ac:dyDescent="0.25">
      <c r="A83" s="537" t="s">
        <v>362</v>
      </c>
      <c r="B83" s="464"/>
      <c r="C83" s="538">
        <f>C82/C81</f>
        <v>0.22853852178012898</v>
      </c>
      <c r="D83" s="538" t="e">
        <f t="shared" ref="D83:K83" si="12">D82/D81</f>
        <v>#DIV/0!</v>
      </c>
      <c r="E83" s="538" t="e">
        <f t="shared" si="12"/>
        <v>#DIV/0!</v>
      </c>
      <c r="F83" s="538" t="e">
        <f t="shared" si="12"/>
        <v>#DIV/0!</v>
      </c>
      <c r="G83" s="538" t="e">
        <f t="shared" si="12"/>
        <v>#DIV/0!</v>
      </c>
      <c r="H83" s="538" t="e">
        <f t="shared" si="12"/>
        <v>#DIV/0!</v>
      </c>
      <c r="I83" s="538" t="e">
        <f t="shared" si="12"/>
        <v>#DIV/0!</v>
      </c>
      <c r="J83" s="538">
        <f t="shared" si="12"/>
        <v>0.18655386463756507</v>
      </c>
      <c r="K83" s="538" t="e">
        <f t="shared" si="12"/>
        <v>#DIV/0!</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3" sqref="A3:B3"/>
      <selection pane="bottomLeft" activeCell="A3" sqref="A3"/>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267" t="s">
        <v>1902</v>
      </c>
      <c r="B1" s="452"/>
      <c r="C1" s="453" t="s">
        <v>445</v>
      </c>
      <c r="D1" s="453" t="s">
        <v>446</v>
      </c>
      <c r="E1" s="453" t="s">
        <v>447</v>
      </c>
      <c r="F1" s="453" t="s">
        <v>448</v>
      </c>
      <c r="G1" s="453" t="s">
        <v>449</v>
      </c>
      <c r="H1" s="453" t="s">
        <v>450</v>
      </c>
      <c r="I1" s="453" t="s">
        <v>451</v>
      </c>
      <c r="J1" s="453" t="s">
        <v>452</v>
      </c>
      <c r="K1" s="453" t="s">
        <v>780</v>
      </c>
    </row>
    <row r="2" spans="1:12" ht="36" x14ac:dyDescent="0.2">
      <c r="A2" s="2268"/>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9" t="s">
        <v>115</v>
      </c>
      <c r="B3" s="1600"/>
      <c r="C3" s="1601"/>
      <c r="D3" s="1601"/>
      <c r="E3" s="1601"/>
      <c r="F3" s="1602"/>
      <c r="G3" s="1603"/>
      <c r="H3" s="1602"/>
      <c r="I3" s="1602"/>
      <c r="J3" s="1602"/>
      <c r="K3" s="1604"/>
    </row>
    <row r="4" spans="1:12" ht="15.95" customHeight="1" x14ac:dyDescent="0.2">
      <c r="A4" s="1610" t="s">
        <v>397</v>
      </c>
      <c r="B4" s="1611">
        <v>1100</v>
      </c>
      <c r="C4" s="541"/>
      <c r="D4" s="541"/>
      <c r="E4" s="541"/>
      <c r="F4" s="542"/>
      <c r="G4" s="543"/>
      <c r="H4" s="544"/>
      <c r="I4" s="544"/>
      <c r="J4" s="544"/>
      <c r="K4" s="544"/>
    </row>
    <row r="5" spans="1:12" ht="15" x14ac:dyDescent="0.2">
      <c r="A5" s="491" t="s">
        <v>1760</v>
      </c>
      <c r="B5" s="545"/>
      <c r="C5" s="480">
        <v>0</v>
      </c>
      <c r="D5" s="480">
        <v>0</v>
      </c>
      <c r="E5" s="480">
        <v>0</v>
      </c>
      <c r="F5" s="546">
        <v>0</v>
      </c>
      <c r="G5" s="466">
        <v>0</v>
      </c>
      <c r="H5" s="466">
        <v>0</v>
      </c>
      <c r="I5" s="466">
        <v>0</v>
      </c>
      <c r="J5" s="466">
        <v>0</v>
      </c>
      <c r="K5" s="466">
        <v>0</v>
      </c>
    </row>
    <row r="6" spans="1:12" ht="15" x14ac:dyDescent="0.2">
      <c r="A6" s="463" t="s">
        <v>1761</v>
      </c>
      <c r="B6" s="470">
        <v>1130</v>
      </c>
      <c r="C6" s="466">
        <v>0</v>
      </c>
      <c r="D6" s="466">
        <v>0</v>
      </c>
      <c r="E6" s="475"/>
      <c r="F6" s="475"/>
      <c r="G6" s="468"/>
      <c r="H6" s="468"/>
      <c r="I6" s="468"/>
      <c r="J6" s="468"/>
      <c r="K6" s="468"/>
    </row>
    <row r="7" spans="1:12" x14ac:dyDescent="0.2">
      <c r="A7" s="463" t="s">
        <v>112</v>
      </c>
      <c r="B7" s="547">
        <v>1140</v>
      </c>
      <c r="C7" s="466">
        <v>0</v>
      </c>
      <c r="D7" s="466">
        <v>0</v>
      </c>
      <c r="E7" s="468"/>
      <c r="F7" s="467">
        <v>0</v>
      </c>
      <c r="G7" s="467">
        <v>0</v>
      </c>
      <c r="H7" s="467">
        <v>0</v>
      </c>
      <c r="I7" s="468"/>
      <c r="J7" s="468"/>
      <c r="K7" s="468"/>
    </row>
    <row r="8" spans="1:12" x14ac:dyDescent="0.2">
      <c r="A8" s="463" t="s">
        <v>433</v>
      </c>
      <c r="B8" s="470">
        <v>1150</v>
      </c>
      <c r="C8" s="475"/>
      <c r="D8" s="475"/>
      <c r="E8" s="476"/>
      <c r="F8" s="476"/>
      <c r="G8" s="480">
        <v>0</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5" t="s">
        <v>29</v>
      </c>
      <c r="B12" s="1726"/>
      <c r="C12" s="1727">
        <f t="shared" ref="C12:K12" si="0">SUM(C5:C11)</f>
        <v>0</v>
      </c>
      <c r="D12" s="1727">
        <f t="shared" si="0"/>
        <v>0</v>
      </c>
      <c r="E12" s="1727">
        <f t="shared" si="0"/>
        <v>0</v>
      </c>
      <c r="F12" s="1727">
        <f t="shared" si="0"/>
        <v>0</v>
      </c>
      <c r="G12" s="1727">
        <f t="shared" si="0"/>
        <v>0</v>
      </c>
      <c r="H12" s="1727">
        <f t="shared" si="0"/>
        <v>0</v>
      </c>
      <c r="I12" s="1727">
        <f t="shared" si="0"/>
        <v>0</v>
      </c>
      <c r="J12" s="1727">
        <f t="shared" si="0"/>
        <v>0</v>
      </c>
      <c r="K12" s="1708">
        <f t="shared" si="0"/>
        <v>0</v>
      </c>
    </row>
    <row r="13" spans="1:12" ht="15.95" customHeight="1" thickTop="1" x14ac:dyDescent="0.2">
      <c r="A13" s="1612" t="s">
        <v>471</v>
      </c>
      <c r="B13" s="1613">
        <v>1200</v>
      </c>
      <c r="C13" s="551"/>
      <c r="D13" s="551"/>
      <c r="E13" s="551"/>
      <c r="F13" s="551"/>
      <c r="G13" s="551"/>
      <c r="H13" s="551"/>
      <c r="I13" s="551"/>
      <c r="J13" s="551"/>
      <c r="K13" s="468"/>
    </row>
    <row r="14" spans="1:12" x14ac:dyDescent="0.2">
      <c r="A14" s="463" t="s">
        <v>3</v>
      </c>
      <c r="B14" s="470">
        <v>1210</v>
      </c>
      <c r="C14" s="549">
        <v>0</v>
      </c>
      <c r="D14" s="466">
        <v>0</v>
      </c>
      <c r="E14" s="466">
        <v>0</v>
      </c>
      <c r="F14" s="466">
        <v>0</v>
      </c>
      <c r="G14" s="466">
        <v>0</v>
      </c>
      <c r="H14" s="466">
        <v>0</v>
      </c>
      <c r="I14" s="466">
        <v>0</v>
      </c>
      <c r="J14" s="467">
        <v>0</v>
      </c>
      <c r="K14" s="466">
        <v>0</v>
      </c>
    </row>
    <row r="15" spans="1:12" ht="12.75" customHeight="1" x14ac:dyDescent="0.2">
      <c r="A15" s="463" t="s">
        <v>97</v>
      </c>
      <c r="B15" s="470">
        <v>1220</v>
      </c>
      <c r="C15" s="549">
        <v>0</v>
      </c>
      <c r="D15" s="466">
        <v>0</v>
      </c>
      <c r="E15" s="466">
        <v>0</v>
      </c>
      <c r="F15" s="466">
        <v>0</v>
      </c>
      <c r="G15" s="466">
        <v>0</v>
      </c>
      <c r="H15" s="466">
        <v>0</v>
      </c>
      <c r="I15" s="466">
        <v>0</v>
      </c>
      <c r="J15" s="467">
        <v>0</v>
      </c>
      <c r="K15" s="466">
        <v>0</v>
      </c>
    </row>
    <row r="16" spans="1:12" ht="15" customHeight="1" x14ac:dyDescent="0.2">
      <c r="A16" s="463" t="s">
        <v>1762</v>
      </c>
      <c r="B16" s="547">
        <v>1230</v>
      </c>
      <c r="C16" s="549">
        <v>0</v>
      </c>
      <c r="D16" s="466">
        <v>0</v>
      </c>
      <c r="E16" s="466">
        <v>0</v>
      </c>
      <c r="F16" s="466">
        <v>0</v>
      </c>
      <c r="G16" s="466">
        <v>0</v>
      </c>
      <c r="H16" s="466">
        <v>0</v>
      </c>
      <c r="I16" s="466">
        <v>0</v>
      </c>
      <c r="J16" s="467">
        <v>0</v>
      </c>
      <c r="K16" s="466">
        <v>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728" t="s">
        <v>558</v>
      </c>
      <c r="B18" s="1729"/>
      <c r="C18" s="1730">
        <f>SUM(C14:C17)</f>
        <v>0</v>
      </c>
      <c r="D18" s="1730">
        <f t="shared" ref="D18:K18" si="1">SUM(D14:D17)</f>
        <v>0</v>
      </c>
      <c r="E18" s="1730">
        <f t="shared" si="1"/>
        <v>0</v>
      </c>
      <c r="F18" s="1730">
        <f t="shared" si="1"/>
        <v>0</v>
      </c>
      <c r="G18" s="1730">
        <f t="shared" si="1"/>
        <v>0</v>
      </c>
      <c r="H18" s="1730">
        <f t="shared" si="1"/>
        <v>0</v>
      </c>
      <c r="I18" s="1730">
        <f t="shared" si="1"/>
        <v>0</v>
      </c>
      <c r="J18" s="1730">
        <f t="shared" si="1"/>
        <v>0</v>
      </c>
      <c r="K18" s="1731">
        <f t="shared" si="1"/>
        <v>0</v>
      </c>
    </row>
    <row r="19" spans="1:11" ht="15.95" customHeight="1" thickTop="1" x14ac:dyDescent="0.2">
      <c r="A19" s="1612" t="s">
        <v>472</v>
      </c>
      <c r="B19" s="1613">
        <v>1300</v>
      </c>
      <c r="C19" s="552"/>
      <c r="D19" s="552"/>
      <c r="E19" s="552"/>
      <c r="F19" s="552"/>
      <c r="G19" s="551"/>
      <c r="H19" s="552"/>
      <c r="I19" s="552"/>
      <c r="J19" s="552"/>
      <c r="K19" s="553"/>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4950766</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5" t="s">
        <v>615</v>
      </c>
      <c r="B39" s="554">
        <v>1354</v>
      </c>
      <c r="C39" s="487">
        <v>0</v>
      </c>
      <c r="D39" s="468"/>
      <c r="E39" s="468"/>
      <c r="F39" s="468"/>
      <c r="G39" s="468"/>
      <c r="H39" s="468"/>
      <c r="I39" s="468"/>
      <c r="J39" s="468"/>
      <c r="K39" s="468"/>
    </row>
    <row r="40" spans="1:11" ht="12.75" customHeight="1" thickBot="1" x14ac:dyDescent="0.25">
      <c r="A40" s="1728" t="s">
        <v>559</v>
      </c>
      <c r="B40" s="1729"/>
      <c r="C40" s="1708">
        <f>SUM(C20:C39)</f>
        <v>4950766</v>
      </c>
      <c r="D40" s="468"/>
      <c r="E40" s="468"/>
      <c r="F40" s="468"/>
      <c r="G40" s="468"/>
      <c r="H40" s="468"/>
      <c r="I40" s="468"/>
      <c r="J40" s="468"/>
      <c r="K40" s="468"/>
    </row>
    <row r="41" spans="1:11" ht="15.95" customHeight="1" thickTop="1" x14ac:dyDescent="0.2">
      <c r="A41" s="1612" t="s">
        <v>292</v>
      </c>
      <c r="B41" s="1613">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5">
        <v>1431</v>
      </c>
      <c r="C51" s="468"/>
      <c r="D51" s="468"/>
      <c r="E51" s="468"/>
      <c r="F51" s="466">
        <v>0</v>
      </c>
      <c r="G51" s="468"/>
      <c r="H51" s="468"/>
      <c r="I51" s="468"/>
      <c r="J51" s="468"/>
      <c r="K51" s="468"/>
    </row>
    <row r="52" spans="1:11" ht="12.75" customHeight="1" x14ac:dyDescent="0.2">
      <c r="A52" s="1516" t="s">
        <v>1168</v>
      </c>
      <c r="B52" s="555">
        <v>1432</v>
      </c>
      <c r="C52" s="468"/>
      <c r="D52" s="468"/>
      <c r="E52" s="468"/>
      <c r="F52" s="466">
        <v>0</v>
      </c>
      <c r="G52" s="468"/>
      <c r="H52" s="468"/>
      <c r="I52" s="468"/>
      <c r="J52" s="468"/>
      <c r="K52" s="468"/>
    </row>
    <row r="53" spans="1:11" ht="12.75" customHeight="1" x14ac:dyDescent="0.2">
      <c r="A53" s="1516" t="s">
        <v>63</v>
      </c>
      <c r="B53" s="555">
        <v>1433</v>
      </c>
      <c r="C53" s="468"/>
      <c r="D53" s="468"/>
      <c r="E53" s="468"/>
      <c r="F53" s="466">
        <v>0</v>
      </c>
      <c r="G53" s="468"/>
      <c r="H53" s="468"/>
      <c r="I53" s="468"/>
      <c r="J53" s="468"/>
      <c r="K53" s="468"/>
    </row>
    <row r="54" spans="1:11" ht="12.75" customHeight="1" x14ac:dyDescent="0.2">
      <c r="A54" s="1516" t="s">
        <v>64</v>
      </c>
      <c r="B54" s="555">
        <v>1434</v>
      </c>
      <c r="C54" s="468"/>
      <c r="D54" s="468"/>
      <c r="E54" s="468"/>
      <c r="F54" s="467">
        <v>0</v>
      </c>
      <c r="G54" s="468"/>
      <c r="H54" s="468"/>
      <c r="I54" s="468"/>
      <c r="J54" s="468"/>
      <c r="K54" s="468"/>
    </row>
    <row r="55" spans="1:11" ht="12.75" customHeight="1" x14ac:dyDescent="0.2">
      <c r="A55" s="1516" t="s">
        <v>65</v>
      </c>
      <c r="B55" s="555">
        <v>1441</v>
      </c>
      <c r="C55" s="468"/>
      <c r="D55" s="468"/>
      <c r="E55" s="468"/>
      <c r="F55" s="466">
        <v>0</v>
      </c>
      <c r="G55" s="468"/>
      <c r="H55" s="468"/>
      <c r="I55" s="468"/>
      <c r="J55" s="468"/>
      <c r="K55" s="468"/>
    </row>
    <row r="56" spans="1:11" ht="12.75" customHeight="1" x14ac:dyDescent="0.2">
      <c r="A56" s="1516" t="s">
        <v>1169</v>
      </c>
      <c r="B56" s="555">
        <v>1442</v>
      </c>
      <c r="C56" s="468"/>
      <c r="D56" s="468"/>
      <c r="E56" s="468"/>
      <c r="F56" s="466">
        <v>0</v>
      </c>
      <c r="G56" s="468"/>
      <c r="H56" s="468"/>
      <c r="I56" s="468"/>
      <c r="J56" s="468"/>
      <c r="K56" s="468"/>
    </row>
    <row r="57" spans="1:11" ht="12.75" customHeight="1" x14ac:dyDescent="0.2">
      <c r="A57" s="1516" t="s">
        <v>510</v>
      </c>
      <c r="B57" s="555">
        <v>1443</v>
      </c>
      <c r="C57" s="468"/>
      <c r="D57" s="468"/>
      <c r="E57" s="468"/>
      <c r="F57" s="466">
        <v>0</v>
      </c>
      <c r="G57" s="468"/>
      <c r="H57" s="468"/>
      <c r="I57" s="468"/>
      <c r="J57" s="468"/>
      <c r="K57" s="468"/>
    </row>
    <row r="58" spans="1:11" ht="12.75" customHeight="1" x14ac:dyDescent="0.2">
      <c r="A58" s="1516" t="s">
        <v>67</v>
      </c>
      <c r="B58" s="555">
        <v>1444</v>
      </c>
      <c r="C58" s="468"/>
      <c r="D58" s="468"/>
      <c r="E58" s="468"/>
      <c r="F58" s="466">
        <v>0</v>
      </c>
      <c r="G58" s="468"/>
      <c r="H58" s="468"/>
      <c r="I58" s="468"/>
      <c r="J58" s="468"/>
      <c r="K58" s="468"/>
    </row>
    <row r="59" spans="1:11" ht="12.75" customHeight="1" x14ac:dyDescent="0.2">
      <c r="A59" s="1516" t="s">
        <v>933</v>
      </c>
      <c r="B59" s="555">
        <v>1451</v>
      </c>
      <c r="C59" s="468"/>
      <c r="D59" s="468"/>
      <c r="E59" s="468"/>
      <c r="F59" s="466">
        <v>0</v>
      </c>
      <c r="G59" s="468"/>
      <c r="H59" s="468"/>
      <c r="I59" s="468"/>
      <c r="J59" s="468"/>
      <c r="K59" s="468"/>
    </row>
    <row r="60" spans="1:11" ht="12.75" customHeight="1" x14ac:dyDescent="0.2">
      <c r="A60" s="1516"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7" t="s">
        <v>935</v>
      </c>
      <c r="B62" s="556">
        <v>1454</v>
      </c>
      <c r="C62" s="468"/>
      <c r="D62" s="468"/>
      <c r="E62" s="468"/>
      <c r="F62" s="467">
        <v>0</v>
      </c>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9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4023</v>
      </c>
      <c r="D65" s="466">
        <v>0</v>
      </c>
      <c r="E65" s="466">
        <v>0</v>
      </c>
      <c r="F65" s="467">
        <v>0</v>
      </c>
      <c r="G65" s="466">
        <v>0</v>
      </c>
      <c r="H65" s="466">
        <v>0</v>
      </c>
      <c r="I65" s="466">
        <v>0</v>
      </c>
      <c r="J65" s="467">
        <v>674</v>
      </c>
      <c r="K65" s="466">
        <v>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8" t="s">
        <v>507</v>
      </c>
      <c r="B67" s="1729"/>
      <c r="C67" s="1708">
        <f>SUM(C65:C66)</f>
        <v>4023</v>
      </c>
      <c r="D67" s="1708">
        <f t="shared" ref="D67:K67" si="2">SUM(D65:D66)</f>
        <v>0</v>
      </c>
      <c r="E67" s="1708">
        <f t="shared" si="2"/>
        <v>0</v>
      </c>
      <c r="F67" s="1708">
        <f t="shared" si="2"/>
        <v>0</v>
      </c>
      <c r="G67" s="1708">
        <f t="shared" si="2"/>
        <v>0</v>
      </c>
      <c r="H67" s="1708">
        <f t="shared" si="2"/>
        <v>0</v>
      </c>
      <c r="I67" s="1708">
        <f t="shared" si="2"/>
        <v>0</v>
      </c>
      <c r="J67" s="1708">
        <f t="shared" si="2"/>
        <v>674</v>
      </c>
      <c r="K67" s="1708">
        <f t="shared" si="2"/>
        <v>0</v>
      </c>
    </row>
    <row r="68" spans="1:11" ht="15.95" customHeight="1" thickTop="1" x14ac:dyDescent="0.2">
      <c r="A68" s="1612" t="s">
        <v>475</v>
      </c>
      <c r="B68" s="1614">
        <v>1600</v>
      </c>
      <c r="C68" s="551"/>
      <c r="D68" s="468"/>
      <c r="E68" s="468"/>
      <c r="F68" s="468"/>
      <c r="G68" s="468"/>
      <c r="H68" s="468"/>
      <c r="I68" s="468"/>
      <c r="J68" s="468"/>
      <c r="K68" s="468"/>
    </row>
    <row r="69" spans="1:11" ht="12.75" customHeight="1" x14ac:dyDescent="0.2">
      <c r="A69" s="463" t="s">
        <v>687</v>
      </c>
      <c r="B69" s="470">
        <v>1611</v>
      </c>
      <c r="C69" s="466">
        <v>0</v>
      </c>
      <c r="D69" s="468"/>
      <c r="E69" s="468"/>
      <c r="F69" s="468"/>
      <c r="G69" s="468"/>
      <c r="H69" s="468"/>
      <c r="I69" s="468"/>
      <c r="J69" s="468"/>
      <c r="K69" s="468"/>
    </row>
    <row r="70" spans="1:11" ht="12.75" customHeight="1" x14ac:dyDescent="0.2">
      <c r="A70" s="463" t="s">
        <v>1054</v>
      </c>
      <c r="B70" s="470">
        <v>1612</v>
      </c>
      <c r="C70" s="549">
        <v>0</v>
      </c>
      <c r="D70" s="468"/>
      <c r="E70" s="468"/>
      <c r="F70" s="468"/>
      <c r="G70" s="468"/>
      <c r="H70" s="468"/>
      <c r="I70" s="468"/>
      <c r="J70" s="468"/>
      <c r="K70" s="468"/>
    </row>
    <row r="71" spans="1:11" ht="12.75" customHeight="1" x14ac:dyDescent="0.2">
      <c r="A71" s="463" t="s">
        <v>291</v>
      </c>
      <c r="B71" s="470">
        <v>1613</v>
      </c>
      <c r="C71" s="549">
        <v>0</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1055</v>
      </c>
      <c r="B73" s="470">
        <v>1620</v>
      </c>
      <c r="C73" s="549">
        <v>0</v>
      </c>
      <c r="D73" s="468"/>
      <c r="E73" s="468"/>
      <c r="F73" s="468"/>
      <c r="G73" s="468"/>
      <c r="H73" s="468"/>
      <c r="I73" s="468"/>
      <c r="J73" s="468"/>
      <c r="K73" s="468"/>
    </row>
    <row r="74" spans="1:11" ht="12.75" customHeight="1" x14ac:dyDescent="0.2">
      <c r="A74" s="463" t="s">
        <v>25</v>
      </c>
      <c r="B74" s="470">
        <v>1690</v>
      </c>
      <c r="C74" s="549">
        <v>0</v>
      </c>
      <c r="D74" s="468"/>
      <c r="E74" s="468"/>
      <c r="F74" s="468"/>
      <c r="G74" s="468"/>
      <c r="H74" s="468"/>
      <c r="I74" s="468"/>
      <c r="J74" s="468"/>
      <c r="K74" s="468"/>
    </row>
    <row r="75" spans="1:11" ht="12.75" customHeight="1" thickBot="1" x14ac:dyDescent="0.25">
      <c r="A75" s="1728" t="s">
        <v>569</v>
      </c>
      <c r="B75" s="1729"/>
      <c r="C75" s="1708">
        <f>SUM(C69:C74)</f>
        <v>0</v>
      </c>
      <c r="D75" s="468"/>
      <c r="E75" s="468"/>
      <c r="F75" s="468"/>
      <c r="G75" s="468"/>
      <c r="H75" s="468"/>
      <c r="I75" s="468"/>
      <c r="J75" s="468"/>
      <c r="K75" s="468"/>
    </row>
    <row r="76" spans="1:11" ht="15.95" customHeight="1" thickTop="1" x14ac:dyDescent="0.2">
      <c r="A76" s="1612" t="s">
        <v>936</v>
      </c>
      <c r="B76" s="1614">
        <v>1700</v>
      </c>
      <c r="C76" s="551"/>
      <c r="D76" s="468"/>
      <c r="E76" s="468"/>
      <c r="F76" s="468"/>
      <c r="G76" s="468"/>
      <c r="H76" s="468"/>
      <c r="I76" s="468"/>
      <c r="J76" s="468"/>
      <c r="K76" s="468"/>
    </row>
    <row r="77" spans="1:11" ht="12.75" customHeight="1" x14ac:dyDescent="0.2">
      <c r="A77" s="463" t="s">
        <v>570</v>
      </c>
      <c r="B77" s="470">
        <v>1711</v>
      </c>
      <c r="C77" s="514">
        <v>0</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571</v>
      </c>
      <c r="B79" s="470">
        <v>1720</v>
      </c>
      <c r="C79" s="549">
        <v>0</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0</v>
      </c>
      <c r="D81" s="466">
        <v>0</v>
      </c>
      <c r="E81" s="468"/>
      <c r="F81" s="468"/>
      <c r="G81" s="468"/>
      <c r="H81" s="468"/>
      <c r="I81" s="468"/>
      <c r="J81" s="468"/>
      <c r="K81" s="468"/>
    </row>
    <row r="82" spans="1:11" ht="12.75" customHeight="1" thickBot="1" x14ac:dyDescent="0.25">
      <c r="A82" s="1728" t="s">
        <v>259</v>
      </c>
      <c r="B82" s="1729"/>
      <c r="C82" s="1727">
        <f>SUM(C77:C81)</f>
        <v>0</v>
      </c>
      <c r="D82" s="1708">
        <f>SUM(D77:D81)</f>
        <v>0</v>
      </c>
      <c r="E82" s="468"/>
      <c r="F82" s="468"/>
      <c r="G82" s="468"/>
      <c r="H82" s="468"/>
      <c r="I82" s="468"/>
      <c r="J82" s="468"/>
      <c r="K82" s="468"/>
    </row>
    <row r="83" spans="1:11" ht="15.95" customHeight="1" thickTop="1" x14ac:dyDescent="0.2">
      <c r="A83" s="1612" t="s">
        <v>260</v>
      </c>
      <c r="B83" s="1614">
        <v>1800</v>
      </c>
      <c r="C83" s="551"/>
      <c r="D83" s="468"/>
      <c r="E83" s="468"/>
      <c r="F83" s="468"/>
      <c r="G83" s="468"/>
      <c r="H83" s="468"/>
      <c r="I83" s="468"/>
      <c r="J83" s="468"/>
      <c r="K83" s="468"/>
    </row>
    <row r="84" spans="1:11" ht="12.75" customHeight="1" x14ac:dyDescent="0.2">
      <c r="A84" s="463" t="s">
        <v>573</v>
      </c>
      <c r="B84" s="470">
        <v>1811</v>
      </c>
      <c r="C84" s="466">
        <v>0</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8" t="s">
        <v>261</v>
      </c>
      <c r="B93" s="1729"/>
      <c r="C93" s="1708">
        <f>SUM(C84:C92)</f>
        <v>0</v>
      </c>
      <c r="D93" s="468"/>
      <c r="E93" s="468"/>
      <c r="F93" s="468"/>
      <c r="G93" s="468"/>
      <c r="H93" s="468"/>
      <c r="I93" s="468"/>
      <c r="J93" s="468"/>
      <c r="K93" s="468"/>
    </row>
    <row r="94" spans="1:11" ht="15.95" customHeight="1" thickTop="1" x14ac:dyDescent="0.2">
      <c r="A94" s="1612" t="s">
        <v>1199</v>
      </c>
      <c r="B94" s="1614">
        <v>1900</v>
      </c>
      <c r="C94" s="551"/>
      <c r="D94" s="519"/>
      <c r="E94" s="468"/>
      <c r="F94" s="468"/>
      <c r="G94" s="468"/>
      <c r="H94" s="468"/>
      <c r="I94" s="468"/>
      <c r="J94" s="468"/>
      <c r="K94" s="468"/>
    </row>
    <row r="95" spans="1:11" ht="12.75" customHeight="1" x14ac:dyDescent="0.2">
      <c r="A95" s="463" t="s">
        <v>1124</v>
      </c>
      <c r="B95" s="470">
        <v>1910</v>
      </c>
      <c r="C95" s="466">
        <v>0</v>
      </c>
      <c r="D95" s="549">
        <v>0</v>
      </c>
      <c r="E95" s="519"/>
      <c r="F95" s="519"/>
      <c r="G95" s="519"/>
      <c r="H95" s="519"/>
      <c r="I95" s="519"/>
      <c r="J95" s="519"/>
      <c r="K95" s="519"/>
    </row>
    <row r="96" spans="1:11" ht="12.75" customHeight="1" x14ac:dyDescent="0.2">
      <c r="A96" s="463" t="s">
        <v>409</v>
      </c>
      <c r="B96" s="470">
        <v>1920</v>
      </c>
      <c r="C96" s="549">
        <v>0</v>
      </c>
      <c r="D96" s="549">
        <v>0</v>
      </c>
      <c r="E96" s="478">
        <v>0</v>
      </c>
      <c r="F96" s="477">
        <v>0</v>
      </c>
      <c r="G96" s="477">
        <v>0</v>
      </c>
      <c r="H96" s="477">
        <v>0</v>
      </c>
      <c r="I96" s="477">
        <v>0</v>
      </c>
      <c r="J96" s="477">
        <v>0</v>
      </c>
      <c r="K96" s="477">
        <v>0</v>
      </c>
    </row>
    <row r="97" spans="1:12" ht="12.75" customHeight="1" x14ac:dyDescent="0.2">
      <c r="A97" s="1515"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0</v>
      </c>
      <c r="D98" s="466">
        <v>0</v>
      </c>
      <c r="E98" s="510"/>
      <c r="F98" s="466">
        <v>0</v>
      </c>
      <c r="G98" s="510"/>
      <c r="H98" s="510"/>
      <c r="I98" s="508"/>
      <c r="J98" s="510"/>
      <c r="K98" s="510"/>
    </row>
    <row r="99" spans="1:12" ht="12.75" customHeight="1" x14ac:dyDescent="0.2">
      <c r="A99" s="463" t="s">
        <v>875</v>
      </c>
      <c r="B99" s="470">
        <v>1950</v>
      </c>
      <c r="C99" s="487">
        <v>53711</v>
      </c>
      <c r="D99" s="466">
        <v>0</v>
      </c>
      <c r="E99" s="466">
        <v>0</v>
      </c>
      <c r="F99" s="466">
        <v>0</v>
      </c>
      <c r="G99" s="466">
        <v>0</v>
      </c>
      <c r="H99" s="466">
        <v>0</v>
      </c>
      <c r="I99" s="468"/>
      <c r="J99" s="467">
        <v>0</v>
      </c>
      <c r="K99" s="466">
        <v>0</v>
      </c>
    </row>
    <row r="100" spans="1:12" ht="12.75" customHeight="1" x14ac:dyDescent="0.2">
      <c r="A100" s="463" t="s">
        <v>263</v>
      </c>
      <c r="B100" s="470">
        <v>1960</v>
      </c>
      <c r="C100" s="487">
        <v>0</v>
      </c>
      <c r="D100" s="487">
        <v>0</v>
      </c>
      <c r="E100" s="487">
        <v>0</v>
      </c>
      <c r="F100" s="487">
        <v>0</v>
      </c>
      <c r="G100" s="487">
        <v>0</v>
      </c>
      <c r="H100" s="487">
        <v>0</v>
      </c>
      <c r="I100" s="467">
        <v>0</v>
      </c>
      <c r="J100" s="487">
        <v>0</v>
      </c>
      <c r="K100" s="467">
        <v>0</v>
      </c>
    </row>
    <row r="101" spans="1:12" ht="12.75" customHeight="1" x14ac:dyDescent="0.2">
      <c r="A101" s="463" t="s">
        <v>264</v>
      </c>
      <c r="B101" s="470">
        <v>1970</v>
      </c>
      <c r="C101" s="487">
        <v>0</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0</v>
      </c>
      <c r="F103" s="468"/>
      <c r="G103" s="468"/>
      <c r="H103" s="487">
        <v>0</v>
      </c>
      <c r="I103" s="468"/>
      <c r="J103" s="508"/>
      <c r="K103" s="508"/>
    </row>
    <row r="104" spans="1:12" ht="12.75" customHeight="1" x14ac:dyDescent="0.2">
      <c r="A104" s="463" t="s">
        <v>885</v>
      </c>
      <c r="B104" s="470">
        <v>1991</v>
      </c>
      <c r="C104" s="487">
        <v>390</v>
      </c>
      <c r="D104" s="466">
        <v>0</v>
      </c>
      <c r="E104" s="480">
        <v>0</v>
      </c>
      <c r="F104" s="467">
        <v>0</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1505</v>
      </c>
      <c r="B106" s="470">
        <v>1993</v>
      </c>
      <c r="C106" s="466">
        <v>0</v>
      </c>
      <c r="D106" s="487">
        <v>0</v>
      </c>
      <c r="E106" s="467">
        <v>0</v>
      </c>
      <c r="F106" s="467">
        <v>0</v>
      </c>
      <c r="G106" s="467">
        <v>0</v>
      </c>
      <c r="H106" s="467">
        <v>0</v>
      </c>
      <c r="I106" s="519"/>
      <c r="J106" s="467">
        <v>0</v>
      </c>
      <c r="K106" s="467">
        <v>0</v>
      </c>
    </row>
    <row r="107" spans="1:12" ht="12.75" customHeight="1" x14ac:dyDescent="0.2">
      <c r="A107" s="463" t="s">
        <v>80</v>
      </c>
      <c r="B107" s="470">
        <v>1999</v>
      </c>
      <c r="C107" s="549">
        <v>0</v>
      </c>
      <c r="D107" s="466">
        <v>0</v>
      </c>
      <c r="E107" s="466">
        <v>0</v>
      </c>
      <c r="F107" s="466">
        <v>0</v>
      </c>
      <c r="G107" s="466">
        <v>0</v>
      </c>
      <c r="H107" s="466">
        <v>0</v>
      </c>
      <c r="I107" s="466">
        <v>0</v>
      </c>
      <c r="J107" s="467">
        <v>71539</v>
      </c>
      <c r="K107" s="466">
        <v>0</v>
      </c>
    </row>
    <row r="108" spans="1:12" ht="12.75" customHeight="1" thickBot="1" x14ac:dyDescent="0.25">
      <c r="A108" s="1728" t="s">
        <v>508</v>
      </c>
      <c r="B108" s="1732"/>
      <c r="C108" s="1727">
        <f>SUM(C95:C107)</f>
        <v>54101</v>
      </c>
      <c r="D108" s="1727">
        <f t="shared" ref="D108:K108" si="3">SUM(D95:D107)</f>
        <v>0</v>
      </c>
      <c r="E108" s="1727">
        <f t="shared" si="3"/>
        <v>0</v>
      </c>
      <c r="F108" s="1727">
        <f t="shared" si="3"/>
        <v>0</v>
      </c>
      <c r="G108" s="1727">
        <f t="shared" si="3"/>
        <v>0</v>
      </c>
      <c r="H108" s="1727">
        <f t="shared" si="3"/>
        <v>0</v>
      </c>
      <c r="I108" s="1727">
        <f t="shared" si="3"/>
        <v>0</v>
      </c>
      <c r="J108" s="1727">
        <f t="shared" si="3"/>
        <v>71539</v>
      </c>
      <c r="K108" s="1708">
        <f t="shared" si="3"/>
        <v>0</v>
      </c>
    </row>
    <row r="109" spans="1:12" ht="14.25" thickTop="1" thickBot="1" x14ac:dyDescent="0.25">
      <c r="A109" s="1733" t="s">
        <v>266</v>
      </c>
      <c r="B109" s="1734" t="s">
        <v>591</v>
      </c>
      <c r="C109" s="1735">
        <f t="shared" ref="C109:K109" si="4">SUM(C12,C18,C40,C63,C67,C75,C82,C93,C108,)</f>
        <v>5008890</v>
      </c>
      <c r="D109" s="1735">
        <f t="shared" si="4"/>
        <v>0</v>
      </c>
      <c r="E109" s="1735">
        <f t="shared" si="4"/>
        <v>0</v>
      </c>
      <c r="F109" s="1735">
        <f t="shared" si="4"/>
        <v>0</v>
      </c>
      <c r="G109" s="1735">
        <f t="shared" si="4"/>
        <v>0</v>
      </c>
      <c r="H109" s="1735">
        <f t="shared" si="4"/>
        <v>0</v>
      </c>
      <c r="I109" s="1735">
        <f t="shared" si="4"/>
        <v>0</v>
      </c>
      <c r="J109" s="1735">
        <f t="shared" si="4"/>
        <v>72213</v>
      </c>
      <c r="K109" s="1722">
        <f t="shared" si="4"/>
        <v>0</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6" t="s">
        <v>839</v>
      </c>
      <c r="B114" s="1737" t="s">
        <v>590</v>
      </c>
      <c r="C114" s="1738">
        <f>SUM(C111:C113)</f>
        <v>0</v>
      </c>
      <c r="D114" s="1738">
        <f>SUM(D111:D113)</f>
        <v>0</v>
      </c>
      <c r="E114" s="559" t="s">
        <v>1231</v>
      </c>
      <c r="F114" s="1738">
        <f>SUM(F111:F113)</f>
        <v>0</v>
      </c>
      <c r="G114" s="1738">
        <f>SUM(G111:G113)</f>
        <v>0</v>
      </c>
      <c r="H114" s="559"/>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0"/>
      <c r="D116" s="519"/>
      <c r="E116" s="559"/>
      <c r="F116" s="519"/>
      <c r="G116" s="519"/>
      <c r="H116" s="559"/>
      <c r="I116" s="468"/>
      <c r="J116" s="519"/>
      <c r="K116" s="519"/>
    </row>
    <row r="117" spans="1:11" ht="12.75" customHeight="1" x14ac:dyDescent="0.2">
      <c r="A117" s="463" t="s">
        <v>1766</v>
      </c>
      <c r="B117" s="560">
        <v>3001</v>
      </c>
      <c r="C117" s="514">
        <v>927521</v>
      </c>
      <c r="D117" s="480">
        <v>0</v>
      </c>
      <c r="E117" s="466">
        <v>0</v>
      </c>
      <c r="F117" s="480">
        <v>0</v>
      </c>
      <c r="G117" s="480">
        <v>0</v>
      </c>
      <c r="H117" s="466">
        <v>0</v>
      </c>
      <c r="I117" s="468"/>
      <c r="J117" s="467">
        <v>0</v>
      </c>
      <c r="K117" s="466">
        <v>0</v>
      </c>
    </row>
    <row r="118" spans="1:11" ht="12.75" customHeight="1" x14ac:dyDescent="0.2">
      <c r="A118" s="463" t="s">
        <v>1899</v>
      </c>
      <c r="B118" s="560">
        <v>3002</v>
      </c>
      <c r="C118" s="549">
        <v>0</v>
      </c>
      <c r="D118" s="466">
        <v>0</v>
      </c>
      <c r="E118" s="466">
        <v>0</v>
      </c>
      <c r="F118" s="466">
        <v>0</v>
      </c>
      <c r="G118" s="466">
        <v>0</v>
      </c>
      <c r="H118" s="466">
        <v>0</v>
      </c>
      <c r="I118" s="468"/>
      <c r="J118" s="467">
        <v>0</v>
      </c>
      <c r="K118" s="466">
        <v>0</v>
      </c>
    </row>
    <row r="119" spans="1:11" ht="12.75" customHeight="1" x14ac:dyDescent="0.2">
      <c r="A119" s="463" t="s">
        <v>1900</v>
      </c>
      <c r="B119" s="560">
        <v>3005</v>
      </c>
      <c r="C119" s="549">
        <v>0</v>
      </c>
      <c r="D119" s="466">
        <v>0</v>
      </c>
      <c r="E119" s="466">
        <v>0</v>
      </c>
      <c r="F119" s="466">
        <v>0</v>
      </c>
      <c r="G119" s="466">
        <v>0</v>
      </c>
      <c r="H119" s="466">
        <v>0</v>
      </c>
      <c r="I119" s="468"/>
      <c r="J119" s="467">
        <v>0</v>
      </c>
      <c r="K119" s="466">
        <v>0</v>
      </c>
    </row>
    <row r="120" spans="1:11" x14ac:dyDescent="0.2">
      <c r="A120" s="1516" t="s">
        <v>1901</v>
      </c>
      <c r="B120" s="562">
        <v>3099</v>
      </c>
      <c r="C120" s="549">
        <v>0</v>
      </c>
      <c r="D120" s="466">
        <v>0</v>
      </c>
      <c r="E120" s="466">
        <v>0</v>
      </c>
      <c r="F120" s="466">
        <v>0</v>
      </c>
      <c r="G120" s="466">
        <v>0</v>
      </c>
      <c r="H120" s="466">
        <v>0</v>
      </c>
      <c r="I120" s="468"/>
      <c r="J120" s="467">
        <v>0</v>
      </c>
      <c r="K120" s="466">
        <v>0</v>
      </c>
    </row>
    <row r="121" spans="1:11" ht="12.75" customHeight="1" thickBot="1" x14ac:dyDescent="0.25">
      <c r="A121" s="1728" t="s">
        <v>509</v>
      </c>
      <c r="B121" s="1739"/>
      <c r="C121" s="1727">
        <f t="shared" ref="C121:H121" si="5">SUM(C117:C120)</f>
        <v>927521</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95" customHeight="1" thickTop="1" x14ac:dyDescent="0.2">
      <c r="A122" s="1612" t="s">
        <v>1570</v>
      </c>
      <c r="B122" s="1617"/>
      <c r="C122" s="563"/>
      <c r="D122" s="507"/>
      <c r="E122" s="468"/>
      <c r="F122" s="564"/>
      <c r="G122" s="468"/>
      <c r="H122" s="468"/>
      <c r="I122" s="468"/>
      <c r="J122" s="468"/>
      <c r="K122" s="468"/>
    </row>
    <row r="123" spans="1:11" ht="15" customHeight="1" x14ac:dyDescent="0.2">
      <c r="A123" s="1618" t="s">
        <v>688</v>
      </c>
      <c r="B123" s="1619"/>
      <c r="C123" s="519"/>
      <c r="D123" s="507"/>
      <c r="E123" s="468"/>
      <c r="F123" s="519"/>
      <c r="G123" s="468"/>
      <c r="H123" s="468"/>
      <c r="I123" s="468"/>
      <c r="J123" s="468"/>
      <c r="K123" s="468"/>
    </row>
    <row r="124" spans="1:11" ht="12.75" customHeight="1" x14ac:dyDescent="0.2">
      <c r="A124" s="463" t="s">
        <v>921</v>
      </c>
      <c r="B124" s="565">
        <v>3100</v>
      </c>
      <c r="C124" s="480">
        <v>0</v>
      </c>
      <c r="D124" s="559"/>
      <c r="E124" s="468"/>
      <c r="F124" s="546">
        <v>0</v>
      </c>
      <c r="G124" s="468"/>
      <c r="H124" s="468"/>
      <c r="I124" s="468"/>
      <c r="J124" s="468"/>
      <c r="K124" s="468"/>
    </row>
    <row r="125" spans="1:11" ht="12.75" customHeight="1" x14ac:dyDescent="0.2">
      <c r="A125" s="463" t="s">
        <v>1521</v>
      </c>
      <c r="B125" s="560">
        <v>3105</v>
      </c>
      <c r="C125" s="466">
        <v>0</v>
      </c>
      <c r="D125" s="559"/>
      <c r="E125" s="468"/>
      <c r="F125" s="466">
        <v>0</v>
      </c>
      <c r="G125" s="468"/>
      <c r="H125" s="468"/>
      <c r="I125" s="468"/>
      <c r="J125" s="468"/>
      <c r="K125" s="468"/>
    </row>
    <row r="126" spans="1:11" ht="12.75" customHeight="1" x14ac:dyDescent="0.2">
      <c r="A126" s="463" t="s">
        <v>922</v>
      </c>
      <c r="B126" s="560">
        <v>3110</v>
      </c>
      <c r="C126" s="549">
        <v>463761</v>
      </c>
      <c r="D126" s="466">
        <v>0</v>
      </c>
      <c r="E126" s="468"/>
      <c r="F126" s="466">
        <v>0</v>
      </c>
      <c r="G126" s="468"/>
      <c r="H126" s="468"/>
      <c r="I126" s="468"/>
      <c r="J126" s="468"/>
      <c r="K126" s="468"/>
    </row>
    <row r="127" spans="1:11" ht="12.75" customHeight="1" x14ac:dyDescent="0.2">
      <c r="A127" s="463" t="s">
        <v>107</v>
      </c>
      <c r="B127" s="560">
        <v>3120</v>
      </c>
      <c r="C127" s="466">
        <v>0</v>
      </c>
      <c r="D127" s="559"/>
      <c r="E127" s="468"/>
      <c r="F127" s="466">
        <v>0</v>
      </c>
      <c r="G127" s="468"/>
      <c r="H127" s="468"/>
      <c r="I127" s="468"/>
      <c r="J127" s="468"/>
      <c r="K127" s="468"/>
    </row>
    <row r="128" spans="1:11" ht="12.75" customHeight="1" x14ac:dyDescent="0.2">
      <c r="A128" s="463" t="s">
        <v>1522</v>
      </c>
      <c r="B128" s="560">
        <v>3130</v>
      </c>
      <c r="C128" s="466">
        <v>0</v>
      </c>
      <c r="D128" s="559"/>
      <c r="E128" s="468"/>
      <c r="F128" s="466">
        <v>0</v>
      </c>
      <c r="G128" s="468"/>
      <c r="H128" s="468"/>
      <c r="I128" s="468"/>
      <c r="J128" s="468"/>
      <c r="K128" s="468"/>
    </row>
    <row r="129" spans="1:11" ht="12.75" customHeight="1" x14ac:dyDescent="0.2">
      <c r="A129" s="463" t="s">
        <v>139</v>
      </c>
      <c r="B129" s="560">
        <v>3145</v>
      </c>
      <c r="C129" s="466">
        <v>0</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8" t="s">
        <v>1092</v>
      </c>
      <c r="B131" s="1740"/>
      <c r="C131" s="1727">
        <f>SUM(C124:C130)</f>
        <v>463761</v>
      </c>
      <c r="D131" s="1727">
        <f>SUM(D124:D130)</f>
        <v>0</v>
      </c>
      <c r="E131" s="469" t="s">
        <v>1231</v>
      </c>
      <c r="F131" s="1727">
        <f>SUM(F124:F130)</f>
        <v>0</v>
      </c>
      <c r="G131" s="468" t="s">
        <v>1231</v>
      </c>
      <c r="H131" s="468" t="s">
        <v>1231</v>
      </c>
      <c r="I131" s="468" t="s">
        <v>1231</v>
      </c>
      <c r="J131" s="468" t="s">
        <v>1231</v>
      </c>
      <c r="K131" s="468" t="s">
        <v>1231</v>
      </c>
    </row>
    <row r="132" spans="1:11" ht="15.95" customHeight="1" thickTop="1" x14ac:dyDescent="0.2">
      <c r="A132" s="1620" t="s">
        <v>268</v>
      </c>
      <c r="B132" s="1621"/>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0</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0</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8" t="s">
        <v>624</v>
      </c>
      <c r="B140" s="1740"/>
      <c r="C140" s="1727">
        <f>SUM(C133:C139)</f>
        <v>0</v>
      </c>
      <c r="D140" s="1727">
        <f>SUM(D133:D139)</f>
        <v>0</v>
      </c>
      <c r="E140" s="559" t="s">
        <v>1231</v>
      </c>
      <c r="F140" s="476"/>
      <c r="G140" s="1727">
        <f>SUM(G133:G139)</f>
        <v>0</v>
      </c>
      <c r="H140" s="468" t="s">
        <v>1231</v>
      </c>
      <c r="I140" s="468" t="s">
        <v>1231</v>
      </c>
      <c r="J140" s="468" t="s">
        <v>1231</v>
      </c>
      <c r="K140" s="468" t="s">
        <v>1231</v>
      </c>
    </row>
    <row r="141" spans="1:11" ht="15.95" customHeight="1" thickTop="1" x14ac:dyDescent="0.2">
      <c r="A141" s="1620" t="s">
        <v>691</v>
      </c>
      <c r="B141" s="1621"/>
      <c r="C141" s="551"/>
      <c r="D141" s="564"/>
      <c r="E141" s="559"/>
      <c r="F141" s="551"/>
      <c r="G141" s="551"/>
      <c r="H141" s="468"/>
      <c r="I141" s="468"/>
      <c r="J141" s="468"/>
      <c r="K141" s="468"/>
    </row>
    <row r="142" spans="1:11" ht="12.75" customHeight="1" x14ac:dyDescent="0.2">
      <c r="A142" s="463" t="s">
        <v>625</v>
      </c>
      <c r="B142" s="560">
        <v>3305</v>
      </c>
      <c r="C142" s="466">
        <v>0</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8" t="s">
        <v>414</v>
      </c>
      <c r="B144" s="1740"/>
      <c r="C144" s="1708">
        <f>SUM(C142:C143)</f>
        <v>0</v>
      </c>
      <c r="D144" s="468"/>
      <c r="E144" s="507"/>
      <c r="F144" s="468"/>
      <c r="G144" s="1741">
        <f>SUM(G142:G143)</f>
        <v>0</v>
      </c>
      <c r="H144" s="468"/>
      <c r="I144" s="468"/>
      <c r="J144" s="468"/>
      <c r="K144" s="468"/>
    </row>
    <row r="145" spans="1:11" s="202" customFormat="1" ht="12.75" customHeight="1" thickTop="1" x14ac:dyDescent="0.2">
      <c r="A145" s="1518" t="s">
        <v>1116</v>
      </c>
      <c r="B145" s="566">
        <v>3360</v>
      </c>
      <c r="C145" s="567">
        <v>850</v>
      </c>
      <c r="D145" s="568"/>
      <c r="E145" s="507"/>
      <c r="F145" s="468"/>
      <c r="G145" s="569"/>
      <c r="H145" s="468"/>
      <c r="I145" s="468"/>
      <c r="J145" s="468"/>
      <c r="K145" s="468"/>
    </row>
    <row r="146" spans="1:11" ht="12.75" customHeight="1" thickBot="1" x14ac:dyDescent="0.25">
      <c r="A146" s="1519" t="s">
        <v>979</v>
      </c>
      <c r="B146" s="570">
        <v>3365</v>
      </c>
      <c r="C146" s="571">
        <v>0</v>
      </c>
      <c r="D146" s="530">
        <v>0</v>
      </c>
      <c r="E146" s="559"/>
      <c r="F146" s="468"/>
      <c r="G146" s="530">
        <v>0</v>
      </c>
      <c r="H146" s="468"/>
      <c r="I146" s="468"/>
      <c r="J146" s="468"/>
      <c r="K146" s="468"/>
    </row>
    <row r="147" spans="1:11" ht="12.75" customHeight="1" thickTop="1" thickBot="1" x14ac:dyDescent="0.25">
      <c r="A147" s="1520" t="s">
        <v>140</v>
      </c>
      <c r="B147" s="572">
        <v>3370</v>
      </c>
      <c r="C147" s="571">
        <v>0</v>
      </c>
      <c r="D147" s="571">
        <v>0</v>
      </c>
      <c r="E147" s="507"/>
      <c r="F147" s="468"/>
      <c r="G147" s="468"/>
      <c r="H147" s="468"/>
      <c r="I147" s="468"/>
      <c r="J147" s="468"/>
      <c r="K147" s="468"/>
    </row>
    <row r="148" spans="1:11" ht="12.75" customHeight="1" thickTop="1" thickBot="1" x14ac:dyDescent="0.25">
      <c r="A148" s="1520"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20" t="s">
        <v>70</v>
      </c>
      <c r="B149" s="572">
        <v>3499</v>
      </c>
      <c r="C149" s="573">
        <v>0</v>
      </c>
      <c r="D149" s="574">
        <v>0</v>
      </c>
      <c r="E149" s="530">
        <v>0</v>
      </c>
      <c r="F149" s="530">
        <v>0</v>
      </c>
      <c r="G149" s="530">
        <v>0</v>
      </c>
      <c r="H149" s="530">
        <v>0</v>
      </c>
      <c r="I149" s="530"/>
      <c r="J149" s="530">
        <v>0</v>
      </c>
      <c r="K149" s="530">
        <v>0</v>
      </c>
    </row>
    <row r="150" spans="1:11" ht="15.95" customHeight="1" thickTop="1" x14ac:dyDescent="0.2">
      <c r="A150" s="1620" t="s">
        <v>473</v>
      </c>
      <c r="B150" s="1622"/>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0</v>
      </c>
      <c r="G151" s="467">
        <v>0</v>
      </c>
      <c r="H151" s="468"/>
      <c r="I151" s="468"/>
      <c r="J151" s="468"/>
      <c r="K151" s="468"/>
    </row>
    <row r="152" spans="1:11" ht="12.75" customHeight="1" x14ac:dyDescent="0.2">
      <c r="A152" s="463" t="s">
        <v>1117</v>
      </c>
      <c r="B152" s="560">
        <v>3510</v>
      </c>
      <c r="C152" s="549">
        <v>0</v>
      </c>
      <c r="D152" s="466">
        <v>0</v>
      </c>
      <c r="E152" s="559"/>
      <c r="F152" s="466">
        <v>0</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8" t="s">
        <v>96</v>
      </c>
      <c r="B154" s="1740"/>
      <c r="C154" s="1727">
        <f>SUM(C151:C153)</f>
        <v>0</v>
      </c>
      <c r="D154" s="1727">
        <f>SUM(D151:D153)</f>
        <v>0</v>
      </c>
      <c r="E154" s="559"/>
      <c r="F154" s="1727">
        <f>SUM(F151:F153)</f>
        <v>0</v>
      </c>
      <c r="G154" s="1727">
        <f>SUM(G151:G153)</f>
        <v>0</v>
      </c>
      <c r="H154" s="468"/>
      <c r="I154" s="468"/>
      <c r="J154" s="468"/>
      <c r="K154" s="468"/>
    </row>
    <row r="155" spans="1:11" ht="12.75" customHeight="1" thickTop="1" thickBot="1" x14ac:dyDescent="0.25">
      <c r="A155" s="1520" t="s">
        <v>398</v>
      </c>
      <c r="B155" s="572">
        <v>3610</v>
      </c>
      <c r="C155" s="574">
        <v>0</v>
      </c>
      <c r="D155" s="468"/>
      <c r="E155" s="507"/>
      <c r="F155" s="468"/>
      <c r="G155" s="468"/>
      <c r="H155" s="468"/>
      <c r="I155" s="468"/>
      <c r="J155" s="468"/>
      <c r="K155" s="468"/>
    </row>
    <row r="156" spans="1:11" ht="12.75" customHeight="1" thickTop="1" thickBot="1" x14ac:dyDescent="0.25">
      <c r="A156" s="1520" t="s">
        <v>52</v>
      </c>
      <c r="B156" s="572">
        <v>3660</v>
      </c>
      <c r="C156" s="571">
        <v>0</v>
      </c>
      <c r="D156" s="576">
        <v>0</v>
      </c>
      <c r="E156" s="559"/>
      <c r="F156" s="576">
        <v>0</v>
      </c>
      <c r="G156" s="576">
        <v>0</v>
      </c>
      <c r="H156" s="468"/>
      <c r="I156" s="468"/>
      <c r="J156" s="468"/>
      <c r="K156" s="468"/>
    </row>
    <row r="157" spans="1:11" ht="12.75" customHeight="1" thickTop="1" thickBot="1" x14ac:dyDescent="0.25">
      <c r="A157" s="1520" t="s">
        <v>1057</v>
      </c>
      <c r="B157" s="572">
        <v>3695</v>
      </c>
      <c r="C157" s="574">
        <v>0</v>
      </c>
      <c r="D157" s="468"/>
      <c r="E157" s="559"/>
      <c r="F157" s="574">
        <v>0</v>
      </c>
      <c r="G157" s="574">
        <v>0</v>
      </c>
      <c r="H157" s="468"/>
      <c r="I157" s="468"/>
      <c r="J157" s="468"/>
      <c r="K157" s="468"/>
    </row>
    <row r="158" spans="1:11" ht="12.75" customHeight="1" thickTop="1" thickBot="1" x14ac:dyDescent="0.25">
      <c r="A158" s="1520" t="s">
        <v>1111</v>
      </c>
      <c r="B158" s="572">
        <v>3705</v>
      </c>
      <c r="C158" s="574">
        <v>0</v>
      </c>
      <c r="D158" s="576">
        <v>0</v>
      </c>
      <c r="E158" s="559"/>
      <c r="F158" s="574">
        <v>0</v>
      </c>
      <c r="G158" s="574">
        <v>0</v>
      </c>
      <c r="H158" s="468"/>
      <c r="I158" s="468"/>
      <c r="J158" s="468"/>
      <c r="K158" s="468"/>
    </row>
    <row r="159" spans="1:11" ht="12.75" customHeight="1" thickTop="1" thickBot="1" x14ac:dyDescent="0.25">
      <c r="A159" s="1520" t="s">
        <v>39</v>
      </c>
      <c r="B159" s="572">
        <v>3715</v>
      </c>
      <c r="C159" s="574">
        <v>0</v>
      </c>
      <c r="D159" s="468"/>
      <c r="E159" s="559"/>
      <c r="F159" s="574">
        <v>0</v>
      </c>
      <c r="G159" s="574">
        <v>0</v>
      </c>
      <c r="H159" s="468"/>
      <c r="I159" s="468"/>
      <c r="J159" s="468"/>
      <c r="K159" s="468"/>
    </row>
    <row r="160" spans="1:11" ht="12.75" customHeight="1" thickTop="1" thickBot="1" x14ac:dyDescent="0.25">
      <c r="A160" s="1520" t="s">
        <v>40</v>
      </c>
      <c r="B160" s="572">
        <v>3720</v>
      </c>
      <c r="C160" s="574">
        <v>0</v>
      </c>
      <c r="D160" s="468"/>
      <c r="E160" s="559"/>
      <c r="F160" s="574">
        <v>0</v>
      </c>
      <c r="G160" s="574">
        <v>0</v>
      </c>
      <c r="H160" s="468"/>
      <c r="I160" s="468"/>
      <c r="J160" s="468"/>
      <c r="K160" s="468"/>
    </row>
    <row r="161" spans="1:11" ht="12.75" customHeight="1" thickTop="1" thickBot="1" x14ac:dyDescent="0.25">
      <c r="A161" s="1520" t="s">
        <v>415</v>
      </c>
      <c r="B161" s="572">
        <v>3725</v>
      </c>
      <c r="C161" s="529">
        <v>0</v>
      </c>
      <c r="D161" s="468"/>
      <c r="E161" s="559"/>
      <c r="F161" s="529">
        <v>0</v>
      </c>
      <c r="G161" s="529">
        <v>0</v>
      </c>
      <c r="H161" s="468"/>
      <c r="I161" s="468"/>
      <c r="J161" s="468"/>
      <c r="K161" s="468"/>
    </row>
    <row r="162" spans="1:11" ht="12.75" customHeight="1" thickTop="1" thickBot="1" x14ac:dyDescent="0.25">
      <c r="A162" s="1520" t="s">
        <v>416</v>
      </c>
      <c r="B162" s="572">
        <v>3726</v>
      </c>
      <c r="C162" s="529">
        <v>0</v>
      </c>
      <c r="D162" s="468"/>
      <c r="E162" s="559"/>
      <c r="F162" s="529">
        <v>0</v>
      </c>
      <c r="G162" s="529">
        <v>0</v>
      </c>
      <c r="H162" s="468"/>
      <c r="I162" s="468"/>
      <c r="J162" s="468"/>
      <c r="K162" s="468"/>
    </row>
    <row r="163" spans="1:11" ht="12.75" customHeight="1" thickTop="1" thickBot="1" x14ac:dyDescent="0.25">
      <c r="A163" s="1520" t="s">
        <v>41</v>
      </c>
      <c r="B163" s="572">
        <v>3766</v>
      </c>
      <c r="C163" s="574"/>
      <c r="D163" s="576"/>
      <c r="E163" s="559"/>
      <c r="F163" s="574"/>
      <c r="G163" s="529"/>
      <c r="H163" s="468"/>
      <c r="I163" s="468"/>
      <c r="J163" s="468"/>
      <c r="K163" s="468"/>
    </row>
    <row r="164" spans="1:11" ht="12.75" customHeight="1" thickTop="1" thickBot="1" x14ac:dyDescent="0.25">
      <c r="A164" s="1520" t="s">
        <v>1042</v>
      </c>
      <c r="B164" s="572">
        <v>3767</v>
      </c>
      <c r="C164" s="574"/>
      <c r="D164" s="529"/>
      <c r="E164" s="559"/>
      <c r="F164" s="529"/>
      <c r="G164" s="529"/>
      <c r="H164" s="468"/>
      <c r="I164" s="468"/>
      <c r="J164" s="468"/>
      <c r="K164" s="468"/>
    </row>
    <row r="165" spans="1:11" ht="12.75" customHeight="1" thickTop="1" thickBot="1" x14ac:dyDescent="0.25">
      <c r="A165" s="1520"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20"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20" t="s">
        <v>913</v>
      </c>
      <c r="B167" s="572">
        <v>3815</v>
      </c>
      <c r="C167" s="574">
        <v>0</v>
      </c>
      <c r="D167" s="468"/>
      <c r="E167" s="559"/>
      <c r="F167" s="574">
        <v>0</v>
      </c>
      <c r="G167" s="468"/>
      <c r="H167" s="468"/>
      <c r="I167" s="468"/>
      <c r="J167" s="468"/>
      <c r="K167" s="468"/>
    </row>
    <row r="168" spans="1:11" ht="12.75" customHeight="1" thickTop="1" thickBot="1" x14ac:dyDescent="0.25">
      <c r="A168" s="1520" t="s">
        <v>417</v>
      </c>
      <c r="B168" s="572">
        <v>3825</v>
      </c>
      <c r="C168" s="574">
        <v>0</v>
      </c>
      <c r="D168" s="468"/>
      <c r="E168" s="559"/>
      <c r="F168" s="574">
        <v>0</v>
      </c>
      <c r="G168" s="468"/>
      <c r="H168" s="468"/>
      <c r="I168" s="468"/>
      <c r="J168" s="468"/>
      <c r="K168" s="468"/>
    </row>
    <row r="169" spans="1:11" ht="12.75" customHeight="1" thickTop="1" thickBot="1" x14ac:dyDescent="0.25">
      <c r="A169" s="1520" t="s">
        <v>366</v>
      </c>
      <c r="B169" s="572">
        <v>3920</v>
      </c>
      <c r="C169" s="564"/>
      <c r="D169" s="576">
        <v>0</v>
      </c>
      <c r="E169" s="468"/>
      <c r="F169" s="564"/>
      <c r="G169" s="468"/>
      <c r="H169" s="528">
        <v>0</v>
      </c>
      <c r="I169" s="468"/>
      <c r="J169" s="468"/>
      <c r="K169" s="468"/>
    </row>
    <row r="170" spans="1:11" ht="12.75" customHeight="1" thickTop="1" thickBot="1" x14ac:dyDescent="0.25">
      <c r="A170" s="1520" t="s">
        <v>367</v>
      </c>
      <c r="B170" s="572">
        <v>3925</v>
      </c>
      <c r="C170" s="519"/>
      <c r="D170" s="574">
        <v>0</v>
      </c>
      <c r="E170" s="519"/>
      <c r="F170" s="519"/>
      <c r="G170" s="468"/>
      <c r="H170" s="529">
        <v>0</v>
      </c>
      <c r="I170" s="468"/>
      <c r="J170" s="468"/>
      <c r="K170" s="528">
        <v>0</v>
      </c>
    </row>
    <row r="171" spans="1:11" ht="14.25" thickTop="1" thickBot="1" x14ac:dyDescent="0.25">
      <c r="A171" s="1520" t="s">
        <v>72</v>
      </c>
      <c r="B171" s="572">
        <v>3999</v>
      </c>
      <c r="C171" s="577">
        <v>0</v>
      </c>
      <c r="D171" s="578">
        <v>0</v>
      </c>
      <c r="E171" s="578">
        <v>0</v>
      </c>
      <c r="F171" s="578">
        <v>0</v>
      </c>
      <c r="G171" s="579">
        <v>0</v>
      </c>
      <c r="H171" s="580">
        <v>0</v>
      </c>
      <c r="I171" s="579">
        <v>0</v>
      </c>
      <c r="J171" s="579">
        <v>0</v>
      </c>
      <c r="K171" s="580">
        <v>0</v>
      </c>
    </row>
    <row r="172" spans="1:11" ht="12.75" customHeight="1" thickTop="1" thickBot="1" x14ac:dyDescent="0.25">
      <c r="A172" s="2287" t="s">
        <v>418</v>
      </c>
      <c r="B172" s="2288"/>
      <c r="C172" s="1742">
        <f t="shared" ref="C172:K172" si="6">SUM(C131,C140,C144,C145:C149,C154,C155:C170,C171)</f>
        <v>464611</v>
      </c>
      <c r="D172" s="1742">
        <f t="shared" si="6"/>
        <v>0</v>
      </c>
      <c r="E172" s="1742">
        <f t="shared" si="6"/>
        <v>0</v>
      </c>
      <c r="F172" s="1742">
        <f t="shared" si="6"/>
        <v>0</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1392132</v>
      </c>
      <c r="D173" s="1735">
        <f>SUM(D121,D172)</f>
        <v>0</v>
      </c>
      <c r="E173" s="1735">
        <f>SUM(E121,E172)</f>
        <v>0</v>
      </c>
      <c r="F173" s="1735">
        <f t="shared" ref="F173:K173" si="7">SUM(F121,F172)</f>
        <v>0</v>
      </c>
      <c r="G173" s="1735">
        <f t="shared" si="7"/>
        <v>0</v>
      </c>
      <c r="H173" s="1735">
        <f t="shared" si="7"/>
        <v>0</v>
      </c>
      <c r="I173" s="1735">
        <f t="shared" si="7"/>
        <v>0</v>
      </c>
      <c r="J173" s="1735">
        <f t="shared" si="7"/>
        <v>0</v>
      </c>
      <c r="K173" s="1722">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95" customHeight="1" x14ac:dyDescent="0.2">
      <c r="A175" s="2289" t="s">
        <v>1572</v>
      </c>
      <c r="B175" s="2290"/>
      <c r="C175" s="518"/>
      <c r="D175" s="518"/>
      <c r="E175" s="507"/>
      <c r="F175" s="468"/>
      <c r="G175" s="468"/>
      <c r="H175" s="468"/>
      <c r="I175" s="468"/>
      <c r="J175" s="468"/>
      <c r="K175" s="468"/>
    </row>
    <row r="176" spans="1:11" ht="12.75"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293" t="s">
        <v>1764</v>
      </c>
      <c r="B178" s="2294"/>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95" customHeight="1" thickTop="1" x14ac:dyDescent="0.2">
      <c r="A179" s="2297" t="s">
        <v>1763</v>
      </c>
      <c r="B179" s="2298"/>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0</v>
      </c>
      <c r="D183" s="466">
        <v>0</v>
      </c>
      <c r="E183" s="468"/>
      <c r="F183" s="466">
        <v>0</v>
      </c>
      <c r="G183" s="466">
        <v>0</v>
      </c>
      <c r="H183" s="466">
        <v>0</v>
      </c>
      <c r="I183" s="468"/>
      <c r="J183" s="468"/>
      <c r="K183" s="466">
        <v>0</v>
      </c>
    </row>
    <row r="184" spans="1:11" ht="13.5" thickBot="1" x14ac:dyDescent="0.25">
      <c r="A184" s="2295" t="s">
        <v>818</v>
      </c>
      <c r="B184" s="2296"/>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291" t="s">
        <v>1903</v>
      </c>
      <c r="B185" s="2292"/>
      <c r="C185" s="582"/>
      <c r="D185" s="564"/>
      <c r="E185" s="507"/>
      <c r="F185" s="564"/>
      <c r="G185" s="564"/>
      <c r="H185" s="468"/>
      <c r="I185" s="468"/>
      <c r="J185" s="468"/>
      <c r="K185" s="468"/>
    </row>
    <row r="186" spans="1:11" ht="15.95" customHeight="1" x14ac:dyDescent="0.2">
      <c r="A186" s="1623" t="s">
        <v>1692</v>
      </c>
      <c r="B186" s="1624"/>
      <c r="C186" s="520"/>
      <c r="D186" s="519"/>
      <c r="E186" s="507"/>
      <c r="F186" s="519"/>
      <c r="G186" s="519"/>
      <c r="H186" s="468"/>
      <c r="I186" s="468"/>
      <c r="J186" s="468"/>
      <c r="K186" s="468"/>
    </row>
    <row r="187" spans="1:11" ht="12.75" customHeight="1" x14ac:dyDescent="0.2">
      <c r="A187" s="463" t="s">
        <v>1693</v>
      </c>
      <c r="B187" s="470">
        <v>4100</v>
      </c>
      <c r="C187" s="514">
        <v>0</v>
      </c>
      <c r="D187" s="480">
        <v>0</v>
      </c>
      <c r="E187" s="559"/>
      <c r="F187" s="480">
        <v>0</v>
      </c>
      <c r="G187" s="480">
        <v>0</v>
      </c>
      <c r="H187" s="468"/>
      <c r="I187" s="468"/>
      <c r="J187" s="468"/>
      <c r="K187" s="468"/>
    </row>
    <row r="188" spans="1:11" ht="12.75" customHeight="1" x14ac:dyDescent="0.2">
      <c r="A188" s="463" t="s">
        <v>1694</v>
      </c>
      <c r="B188" s="470">
        <v>4105</v>
      </c>
      <c r="C188" s="549">
        <v>0</v>
      </c>
      <c r="D188" s="466">
        <v>0</v>
      </c>
      <c r="E188" s="559"/>
      <c r="F188" s="466">
        <v>0</v>
      </c>
      <c r="G188" s="466">
        <v>0</v>
      </c>
      <c r="H188" s="468"/>
      <c r="I188" s="468"/>
      <c r="J188" s="468"/>
      <c r="K188" s="468"/>
    </row>
    <row r="189" spans="1:11" ht="12.75" customHeight="1" x14ac:dyDescent="0.2">
      <c r="A189" s="463" t="s">
        <v>1696</v>
      </c>
      <c r="B189" s="470">
        <v>4107</v>
      </c>
      <c r="C189" s="549">
        <v>0</v>
      </c>
      <c r="D189" s="466">
        <v>0</v>
      </c>
      <c r="E189" s="559"/>
      <c r="F189" s="466">
        <v>0</v>
      </c>
      <c r="G189" s="466">
        <v>0</v>
      </c>
      <c r="H189" s="468"/>
      <c r="I189" s="468"/>
      <c r="J189" s="468"/>
      <c r="K189" s="468"/>
    </row>
    <row r="190" spans="1:11" ht="12.75" customHeight="1" x14ac:dyDescent="0.2">
      <c r="A190" s="463" t="s">
        <v>1695</v>
      </c>
      <c r="B190" s="470">
        <v>4199</v>
      </c>
      <c r="C190" s="549">
        <v>0</v>
      </c>
      <c r="D190" s="466">
        <v>0</v>
      </c>
      <c r="E190" s="559"/>
      <c r="F190" s="466">
        <v>0</v>
      </c>
      <c r="G190" s="466">
        <v>0</v>
      </c>
      <c r="H190" s="468"/>
      <c r="I190" s="468"/>
      <c r="J190" s="468"/>
      <c r="K190" s="468"/>
    </row>
    <row r="191" spans="1:11" ht="12.75" customHeight="1" thickBot="1" x14ac:dyDescent="0.25">
      <c r="A191" s="1728" t="s">
        <v>1697</v>
      </c>
      <c r="B191" s="1729"/>
      <c r="C191" s="1727">
        <f>SUM(C187:C190)</f>
        <v>0</v>
      </c>
      <c r="D191" s="1727">
        <f>SUM(D187:D190)</f>
        <v>0</v>
      </c>
      <c r="E191" s="559"/>
      <c r="F191" s="1727">
        <f>SUM(F187:F190)</f>
        <v>0</v>
      </c>
      <c r="G191" s="1727">
        <f>SUM(G187:G190)</f>
        <v>0</v>
      </c>
      <c r="H191" s="468"/>
      <c r="I191" s="468"/>
      <c r="J191" s="468"/>
      <c r="K191" s="468"/>
    </row>
    <row r="192" spans="1:11" ht="15.95" customHeight="1" thickTop="1" x14ac:dyDescent="0.2">
      <c r="A192" s="1620" t="s">
        <v>475</v>
      </c>
      <c r="B192" s="1625"/>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25822</v>
      </c>
      <c r="D194" s="468"/>
      <c r="E194" s="559"/>
      <c r="F194" s="468"/>
      <c r="G194" s="583">
        <v>0</v>
      </c>
      <c r="H194" s="468"/>
      <c r="I194" s="468"/>
      <c r="J194" s="468"/>
      <c r="K194" s="468"/>
    </row>
    <row r="195" spans="1:11" ht="12.75" customHeight="1" x14ac:dyDescent="0.2">
      <c r="A195" s="463" t="s">
        <v>1107</v>
      </c>
      <c r="B195" s="470">
        <v>4215</v>
      </c>
      <c r="C195" s="549">
        <v>0</v>
      </c>
      <c r="D195" s="468"/>
      <c r="E195" s="559"/>
      <c r="F195" s="468"/>
      <c r="G195" s="583">
        <v>0</v>
      </c>
      <c r="H195" s="468"/>
      <c r="I195" s="468"/>
      <c r="J195" s="468"/>
      <c r="K195" s="468"/>
    </row>
    <row r="196" spans="1:11" ht="12.75" customHeight="1" x14ac:dyDescent="0.2">
      <c r="A196" s="463" t="s">
        <v>1119</v>
      </c>
      <c r="B196" s="470">
        <v>4220</v>
      </c>
      <c r="C196" s="549">
        <v>18009</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8" t="s">
        <v>569</v>
      </c>
      <c r="B201" s="1729"/>
      <c r="C201" s="1708">
        <f>SUM(C193:C200)</f>
        <v>43831</v>
      </c>
      <c r="D201" s="468"/>
      <c r="E201" s="468"/>
      <c r="F201" s="468"/>
      <c r="G201" s="1708">
        <f>SUM(G193:G200)</f>
        <v>0</v>
      </c>
      <c r="H201" s="468"/>
      <c r="I201" s="468"/>
      <c r="J201" s="468"/>
      <c r="K201" s="468"/>
    </row>
    <row r="202" spans="1:11" ht="15.95" customHeight="1" thickTop="1" x14ac:dyDescent="0.2">
      <c r="A202" s="1620" t="s">
        <v>1200</v>
      </c>
      <c r="B202" s="1625"/>
      <c r="C202" s="551"/>
      <c r="D202" s="468"/>
      <c r="E202" s="468"/>
      <c r="F202" s="468"/>
      <c r="G202" s="468"/>
      <c r="H202" s="468"/>
      <c r="I202" s="468"/>
      <c r="J202" s="468"/>
      <c r="K202" s="468"/>
    </row>
    <row r="203" spans="1:11" ht="12.75" customHeight="1" x14ac:dyDescent="0.2">
      <c r="A203" s="463" t="s">
        <v>974</v>
      </c>
      <c r="B203" s="470">
        <v>4300</v>
      </c>
      <c r="C203" s="466">
        <v>0</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8" t="s">
        <v>420</v>
      </c>
      <c r="B211" s="1729"/>
      <c r="C211" s="1727">
        <f>SUM(C203:C210)</f>
        <v>0</v>
      </c>
      <c r="D211" s="1727">
        <f>SUM(D203:D210)</f>
        <v>0</v>
      </c>
      <c r="E211" s="468"/>
      <c r="F211" s="1727">
        <f>SUM(F203:F210)</f>
        <v>0</v>
      </c>
      <c r="G211" s="1727">
        <f>SUM(G203:G210)</f>
        <v>0</v>
      </c>
      <c r="H211" s="468"/>
      <c r="I211" s="468"/>
      <c r="J211" s="468"/>
      <c r="K211" s="468"/>
    </row>
    <row r="212" spans="1:11" ht="15.95" customHeight="1" thickTop="1" x14ac:dyDescent="0.2">
      <c r="A212" s="1620" t="s">
        <v>1201</v>
      </c>
      <c r="B212" s="1625"/>
      <c r="C212" s="551"/>
      <c r="D212" s="551"/>
      <c r="E212" s="468"/>
      <c r="F212" s="551"/>
      <c r="G212" s="551"/>
      <c r="H212" s="468"/>
      <c r="I212" s="468"/>
      <c r="J212" s="468"/>
      <c r="K212" s="468"/>
    </row>
    <row r="213" spans="1:11" ht="12.75" customHeight="1" x14ac:dyDescent="0.2">
      <c r="A213" s="463" t="s">
        <v>783</v>
      </c>
      <c r="B213" s="470">
        <v>4400</v>
      </c>
      <c r="C213" s="549">
        <v>0</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95" customHeight="1" thickTop="1" x14ac:dyDescent="0.2">
      <c r="A217" s="1620" t="s">
        <v>1154</v>
      </c>
      <c r="B217" s="1625"/>
      <c r="C217" s="551"/>
      <c r="D217" s="551"/>
      <c r="E217" s="468"/>
      <c r="F217" s="551"/>
      <c r="G217" s="551"/>
      <c r="H217" s="468"/>
      <c r="I217" s="468"/>
      <c r="J217" s="468"/>
      <c r="K217" s="468"/>
    </row>
    <row r="218" spans="1:11" ht="12.75" customHeight="1" x14ac:dyDescent="0.2">
      <c r="A218" s="463" t="s">
        <v>1112</v>
      </c>
      <c r="B218" s="470">
        <v>4600</v>
      </c>
      <c r="C218" s="549">
        <v>71252</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1473738</v>
      </c>
      <c r="D220" s="466">
        <v>0</v>
      </c>
      <c r="E220" s="468"/>
      <c r="F220" s="466">
        <v>0</v>
      </c>
      <c r="G220" s="466">
        <v>0</v>
      </c>
      <c r="H220" s="468"/>
      <c r="I220" s="468"/>
      <c r="J220" s="468"/>
      <c r="K220" s="468"/>
    </row>
    <row r="221" spans="1:11" ht="12.75" customHeight="1" x14ac:dyDescent="0.2">
      <c r="A221" s="463" t="s">
        <v>1114</v>
      </c>
      <c r="B221" s="470">
        <v>4625</v>
      </c>
      <c r="C221" s="549">
        <v>0</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21" t="s">
        <v>76</v>
      </c>
      <c r="B223" s="555">
        <v>4699</v>
      </c>
      <c r="C223" s="549">
        <v>0</v>
      </c>
      <c r="D223" s="466">
        <v>0</v>
      </c>
      <c r="E223" s="468"/>
      <c r="F223" s="466">
        <v>0</v>
      </c>
      <c r="G223" s="466">
        <v>0</v>
      </c>
      <c r="H223" s="468"/>
      <c r="I223" s="468"/>
      <c r="J223" s="468"/>
      <c r="K223" s="468"/>
    </row>
    <row r="224" spans="1:11" ht="12.75" customHeight="1" thickBot="1" x14ac:dyDescent="0.25">
      <c r="A224" s="1728" t="s">
        <v>467</v>
      </c>
      <c r="B224" s="1729"/>
      <c r="C224" s="1727">
        <f>SUM(C218:C223)</f>
        <v>1544990</v>
      </c>
      <c r="D224" s="1727">
        <f>SUM(D218:D223)</f>
        <v>0</v>
      </c>
      <c r="E224" s="468"/>
      <c r="F224" s="1727">
        <f>SUM(F218:F223)</f>
        <v>0</v>
      </c>
      <c r="G224" s="1727">
        <f>SUM(G218:G223)</f>
        <v>0</v>
      </c>
      <c r="H224" s="468"/>
      <c r="I224" s="468"/>
      <c r="J224" s="468"/>
      <c r="K224" s="468"/>
    </row>
    <row r="225" spans="1:11" ht="15.95" customHeight="1" thickTop="1" x14ac:dyDescent="0.2">
      <c r="A225" s="1620" t="s">
        <v>1155</v>
      </c>
      <c r="B225" s="1625"/>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1"/>
      <c r="J259" s="1727">
        <f>SUM(J230:J258)</f>
        <v>0</v>
      </c>
      <c r="K259" s="1708">
        <f>SUM(K230:K258)</f>
        <v>0</v>
      </c>
    </row>
    <row r="260" spans="1:11" ht="12.75" customHeight="1" thickTop="1" thickBot="1" x14ac:dyDescent="0.25">
      <c r="A260" s="1522" t="s">
        <v>1493</v>
      </c>
      <c r="B260" s="586">
        <v>4901</v>
      </c>
      <c r="C260" s="587">
        <v>0</v>
      </c>
      <c r="D260" s="469"/>
      <c r="E260" s="468"/>
      <c r="F260" s="468"/>
      <c r="G260" s="468"/>
      <c r="H260" s="468"/>
      <c r="I260" s="468"/>
      <c r="J260" s="468"/>
      <c r="K260" s="468"/>
    </row>
    <row r="261" spans="1:11" ht="12.75" customHeight="1" thickTop="1" thickBot="1" x14ac:dyDescent="0.25">
      <c r="A261" s="1523"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0</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74042</v>
      </c>
      <c r="D270" s="574">
        <v>0</v>
      </c>
      <c r="E270" s="468"/>
      <c r="F270" s="574">
        <v>0</v>
      </c>
      <c r="G270" s="574">
        <v>0</v>
      </c>
      <c r="H270" s="468"/>
      <c r="I270" s="468"/>
      <c r="J270" s="468"/>
      <c r="K270" s="468"/>
    </row>
    <row r="271" spans="1:11" ht="12.75" customHeight="1" thickTop="1" thickBot="1" x14ac:dyDescent="0.25">
      <c r="A271" s="463" t="s">
        <v>395</v>
      </c>
      <c r="B271" s="470">
        <v>4992</v>
      </c>
      <c r="C271" s="573">
        <v>93070</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8" t="s">
        <v>1765</v>
      </c>
      <c r="B273" s="1747"/>
      <c r="C273" s="1735">
        <f t="shared" ref="C273:H273" si="10">SUM(C191,C201,C211,C216,C224,C228,C229,C259:C272)</f>
        <v>1755933</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1755933</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8156955</v>
      </c>
      <c r="D275" s="1735">
        <f t="shared" si="12"/>
        <v>0</v>
      </c>
      <c r="E275" s="1735">
        <f t="shared" si="12"/>
        <v>0</v>
      </c>
      <c r="F275" s="1735">
        <f t="shared" si="12"/>
        <v>0</v>
      </c>
      <c r="G275" s="1735">
        <f t="shared" si="12"/>
        <v>0</v>
      </c>
      <c r="H275" s="1735">
        <f t="shared" si="12"/>
        <v>0</v>
      </c>
      <c r="I275" s="1735">
        <f t="shared" si="12"/>
        <v>0</v>
      </c>
      <c r="J275" s="1735">
        <f t="shared" si="12"/>
        <v>72213</v>
      </c>
      <c r="K275" s="1722">
        <f t="shared" si="12"/>
        <v>0</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3" sqref="A3"/>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267" t="s">
        <v>1902</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301"/>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307" t="s">
        <v>315</v>
      </c>
      <c r="B3" s="2308"/>
      <c r="C3" s="1568"/>
      <c r="D3" s="1568"/>
      <c r="E3" s="1568"/>
      <c r="F3" s="1568"/>
      <c r="G3" s="1568"/>
      <c r="H3" s="1568"/>
      <c r="I3" s="1568"/>
      <c r="J3" s="1568"/>
      <c r="K3" s="1569"/>
      <c r="L3" s="1570"/>
      <c r="M3" s="608"/>
      <c r="N3" s="608"/>
    </row>
    <row r="4" spans="1:14" s="259" customFormat="1" ht="15.95" customHeight="1" x14ac:dyDescent="0.2">
      <c r="A4" s="1626" t="s">
        <v>46</v>
      </c>
      <c r="B4" s="1627" t="s">
        <v>591</v>
      </c>
      <c r="C4" s="609"/>
      <c r="D4" s="609"/>
      <c r="E4" s="609"/>
      <c r="F4" s="609"/>
      <c r="G4" s="609"/>
      <c r="H4" s="609"/>
      <c r="I4" s="610"/>
      <c r="J4" s="609"/>
      <c r="K4" s="611"/>
      <c r="L4" s="609"/>
      <c r="M4" s="612"/>
      <c r="N4" s="612"/>
    </row>
    <row r="5" spans="1:14" x14ac:dyDescent="0.2">
      <c r="A5" s="1524" t="s">
        <v>1018</v>
      </c>
      <c r="B5" s="613">
        <v>1100</v>
      </c>
      <c r="C5" s="466">
        <v>0</v>
      </c>
      <c r="D5" s="466">
        <v>0</v>
      </c>
      <c r="E5" s="466">
        <v>0</v>
      </c>
      <c r="F5" s="466">
        <v>0</v>
      </c>
      <c r="G5" s="466">
        <v>0</v>
      </c>
      <c r="H5" s="466">
        <v>0</v>
      </c>
      <c r="I5" s="467">
        <v>0</v>
      </c>
      <c r="J5" s="467">
        <v>0</v>
      </c>
      <c r="K5" s="1691">
        <f>SUM(C5:J5)</f>
        <v>0</v>
      </c>
      <c r="L5" s="466">
        <v>0</v>
      </c>
    </row>
    <row r="6" spans="1:14" x14ac:dyDescent="0.2">
      <c r="A6" s="1524" t="s">
        <v>1508</v>
      </c>
      <c r="B6" s="613" t="s">
        <v>1506</v>
      </c>
      <c r="C6" s="476"/>
      <c r="D6" s="476"/>
      <c r="E6" s="466">
        <v>0</v>
      </c>
      <c r="F6" s="476"/>
      <c r="G6" s="476"/>
      <c r="H6" s="476"/>
      <c r="I6" s="476"/>
      <c r="J6" s="476"/>
      <c r="K6" s="1691">
        <f>SUM(C6,E6)</f>
        <v>0</v>
      </c>
      <c r="L6" s="466">
        <v>0</v>
      </c>
    </row>
    <row r="7" spans="1:14" x14ac:dyDescent="0.2">
      <c r="A7" s="1524" t="s">
        <v>165</v>
      </c>
      <c r="B7" s="613" t="s">
        <v>1024</v>
      </c>
      <c r="C7" s="467">
        <v>0</v>
      </c>
      <c r="D7" s="467">
        <v>0</v>
      </c>
      <c r="E7" s="467">
        <v>0</v>
      </c>
      <c r="F7" s="467">
        <v>0</v>
      </c>
      <c r="G7" s="467">
        <v>0</v>
      </c>
      <c r="H7" s="467">
        <v>0</v>
      </c>
      <c r="I7" s="467">
        <v>0</v>
      </c>
      <c r="J7" s="467">
        <v>0</v>
      </c>
      <c r="K7" s="1691">
        <f t="shared" ref="K7:K32" si="0">SUM(C7:J7)</f>
        <v>0</v>
      </c>
      <c r="L7" s="466">
        <v>0</v>
      </c>
    </row>
    <row r="8" spans="1:14" x14ac:dyDescent="0.2">
      <c r="A8" s="1524" t="s">
        <v>166</v>
      </c>
      <c r="B8" s="613">
        <v>1200</v>
      </c>
      <c r="C8" s="466">
        <v>3035385</v>
      </c>
      <c r="D8" s="466">
        <v>677564</v>
      </c>
      <c r="E8" s="466">
        <v>108061</v>
      </c>
      <c r="F8" s="466">
        <v>59526</v>
      </c>
      <c r="G8" s="466">
        <v>0</v>
      </c>
      <c r="H8" s="466">
        <v>1530</v>
      </c>
      <c r="I8" s="467">
        <v>26599</v>
      </c>
      <c r="J8" s="467">
        <v>0</v>
      </c>
      <c r="K8" s="1691">
        <f t="shared" si="0"/>
        <v>3908665</v>
      </c>
      <c r="L8" s="466">
        <v>4164728</v>
      </c>
    </row>
    <row r="9" spans="1:14" x14ac:dyDescent="0.2">
      <c r="A9" s="1524" t="s">
        <v>745</v>
      </c>
      <c r="B9" s="613" t="s">
        <v>1025</v>
      </c>
      <c r="C9" s="467">
        <v>344501</v>
      </c>
      <c r="D9" s="467">
        <v>70887</v>
      </c>
      <c r="E9" s="467">
        <v>0</v>
      </c>
      <c r="F9" s="467">
        <v>2105</v>
      </c>
      <c r="G9" s="467">
        <v>0</v>
      </c>
      <c r="H9" s="467">
        <v>0</v>
      </c>
      <c r="I9" s="467">
        <v>11604</v>
      </c>
      <c r="J9" s="467">
        <v>0</v>
      </c>
      <c r="K9" s="1691">
        <f t="shared" si="0"/>
        <v>429097</v>
      </c>
      <c r="L9" s="466">
        <v>0</v>
      </c>
    </row>
    <row r="10" spans="1:14" x14ac:dyDescent="0.2">
      <c r="A10" s="1524" t="s">
        <v>746</v>
      </c>
      <c r="B10" s="613">
        <v>1250</v>
      </c>
      <c r="C10" s="466">
        <v>0</v>
      </c>
      <c r="D10" s="466">
        <v>0</v>
      </c>
      <c r="E10" s="466">
        <v>0</v>
      </c>
      <c r="F10" s="466">
        <v>0</v>
      </c>
      <c r="G10" s="466">
        <v>0</v>
      </c>
      <c r="H10" s="466">
        <v>0</v>
      </c>
      <c r="I10" s="467">
        <v>0</v>
      </c>
      <c r="J10" s="467">
        <v>0</v>
      </c>
      <c r="K10" s="1691">
        <f t="shared" si="0"/>
        <v>0</v>
      </c>
      <c r="L10" s="466">
        <v>0</v>
      </c>
    </row>
    <row r="11" spans="1:14" x14ac:dyDescent="0.2">
      <c r="A11" s="1524" t="s">
        <v>1192</v>
      </c>
      <c r="B11" s="613" t="s">
        <v>163</v>
      </c>
      <c r="C11" s="467">
        <v>0</v>
      </c>
      <c r="D11" s="467">
        <v>0</v>
      </c>
      <c r="E11" s="467">
        <v>0</v>
      </c>
      <c r="F11" s="467">
        <v>0</v>
      </c>
      <c r="G11" s="467">
        <v>0</v>
      </c>
      <c r="H11" s="467">
        <v>0</v>
      </c>
      <c r="I11" s="467">
        <v>0</v>
      </c>
      <c r="J11" s="467">
        <v>0</v>
      </c>
      <c r="K11" s="1691">
        <f t="shared" si="0"/>
        <v>0</v>
      </c>
      <c r="L11" s="466">
        <v>0</v>
      </c>
    </row>
    <row r="12" spans="1:14" x14ac:dyDescent="0.2">
      <c r="A12" s="1524" t="s">
        <v>1019</v>
      </c>
      <c r="B12" s="613">
        <v>1300</v>
      </c>
      <c r="C12" s="466">
        <v>0</v>
      </c>
      <c r="D12" s="466">
        <v>0</v>
      </c>
      <c r="E12" s="466">
        <v>0</v>
      </c>
      <c r="F12" s="466">
        <v>0</v>
      </c>
      <c r="G12" s="466">
        <v>0</v>
      </c>
      <c r="H12" s="466">
        <v>0</v>
      </c>
      <c r="I12" s="467">
        <v>0</v>
      </c>
      <c r="J12" s="467">
        <v>0</v>
      </c>
      <c r="K12" s="1691">
        <f t="shared" si="0"/>
        <v>0</v>
      </c>
      <c r="L12" s="466">
        <v>0</v>
      </c>
    </row>
    <row r="13" spans="1:14" x14ac:dyDescent="0.2">
      <c r="A13" s="1524" t="s">
        <v>747</v>
      </c>
      <c r="B13" s="613">
        <v>1400</v>
      </c>
      <c r="C13" s="467">
        <v>0</v>
      </c>
      <c r="D13" s="466">
        <v>0</v>
      </c>
      <c r="E13" s="466">
        <v>0</v>
      </c>
      <c r="F13" s="466">
        <v>0</v>
      </c>
      <c r="G13" s="466">
        <v>0</v>
      </c>
      <c r="H13" s="466">
        <v>0</v>
      </c>
      <c r="I13" s="467">
        <v>0</v>
      </c>
      <c r="J13" s="467">
        <v>0</v>
      </c>
      <c r="K13" s="1691">
        <f t="shared" si="0"/>
        <v>0</v>
      </c>
      <c r="L13" s="466">
        <v>0</v>
      </c>
    </row>
    <row r="14" spans="1:14" x14ac:dyDescent="0.2">
      <c r="A14" s="1524" t="s">
        <v>1020</v>
      </c>
      <c r="B14" s="613">
        <v>1500</v>
      </c>
      <c r="C14" s="467">
        <v>0</v>
      </c>
      <c r="D14" s="466">
        <v>0</v>
      </c>
      <c r="E14" s="466">
        <v>0</v>
      </c>
      <c r="F14" s="466">
        <v>0</v>
      </c>
      <c r="G14" s="466">
        <v>0</v>
      </c>
      <c r="H14" s="466">
        <v>0</v>
      </c>
      <c r="I14" s="467">
        <v>0</v>
      </c>
      <c r="J14" s="467">
        <v>0</v>
      </c>
      <c r="K14" s="1691">
        <f t="shared" si="0"/>
        <v>0</v>
      </c>
      <c r="L14" s="466">
        <v>0</v>
      </c>
    </row>
    <row r="15" spans="1:14" x14ac:dyDescent="0.2">
      <c r="A15" s="1524" t="s">
        <v>1021</v>
      </c>
      <c r="B15" s="613">
        <v>1600</v>
      </c>
      <c r="C15" s="466">
        <v>0</v>
      </c>
      <c r="D15" s="466">
        <v>0</v>
      </c>
      <c r="E15" s="466">
        <v>0</v>
      </c>
      <c r="F15" s="466">
        <v>0</v>
      </c>
      <c r="G15" s="466">
        <v>0</v>
      </c>
      <c r="H15" s="466">
        <v>0</v>
      </c>
      <c r="I15" s="467">
        <v>0</v>
      </c>
      <c r="J15" s="467">
        <v>0</v>
      </c>
      <c r="K15" s="1691">
        <f t="shared" si="0"/>
        <v>0</v>
      </c>
      <c r="L15" s="466">
        <v>0</v>
      </c>
    </row>
    <row r="16" spans="1:14" x14ac:dyDescent="0.2">
      <c r="A16" s="1524" t="s">
        <v>1044</v>
      </c>
      <c r="B16" s="613" t="s">
        <v>444</v>
      </c>
      <c r="C16" s="466">
        <v>0</v>
      </c>
      <c r="D16" s="466">
        <v>0</v>
      </c>
      <c r="E16" s="466">
        <v>0</v>
      </c>
      <c r="F16" s="466">
        <v>0</v>
      </c>
      <c r="G16" s="466">
        <v>0</v>
      </c>
      <c r="H16" s="466">
        <v>0</v>
      </c>
      <c r="I16" s="467">
        <v>0</v>
      </c>
      <c r="J16" s="467">
        <v>0</v>
      </c>
      <c r="K16" s="1691">
        <f t="shared" si="0"/>
        <v>0</v>
      </c>
      <c r="L16" s="466">
        <v>0</v>
      </c>
    </row>
    <row r="17" spans="1:12" x14ac:dyDescent="0.2">
      <c r="A17" s="1524" t="s">
        <v>748</v>
      </c>
      <c r="B17" s="613" t="s">
        <v>164</v>
      </c>
      <c r="C17" s="467">
        <v>0</v>
      </c>
      <c r="D17" s="467">
        <v>0</v>
      </c>
      <c r="E17" s="467">
        <v>0</v>
      </c>
      <c r="F17" s="467">
        <v>0</v>
      </c>
      <c r="G17" s="467">
        <v>0</v>
      </c>
      <c r="H17" s="467">
        <v>0</v>
      </c>
      <c r="I17" s="467">
        <v>0</v>
      </c>
      <c r="J17" s="467">
        <v>0</v>
      </c>
      <c r="K17" s="1691">
        <f t="shared" si="0"/>
        <v>0</v>
      </c>
      <c r="L17" s="466">
        <v>0</v>
      </c>
    </row>
    <row r="18" spans="1:12" x14ac:dyDescent="0.2">
      <c r="A18" s="1524" t="s">
        <v>1148</v>
      </c>
      <c r="B18" s="613">
        <v>1800</v>
      </c>
      <c r="C18" s="466">
        <v>0</v>
      </c>
      <c r="D18" s="466">
        <v>0</v>
      </c>
      <c r="E18" s="466">
        <v>0</v>
      </c>
      <c r="F18" s="466">
        <v>0</v>
      </c>
      <c r="G18" s="466">
        <v>0</v>
      </c>
      <c r="H18" s="466">
        <v>0</v>
      </c>
      <c r="I18" s="467">
        <v>0</v>
      </c>
      <c r="J18" s="467">
        <v>0</v>
      </c>
      <c r="K18" s="1691">
        <f t="shared" si="0"/>
        <v>0</v>
      </c>
      <c r="L18" s="466">
        <v>0</v>
      </c>
    </row>
    <row r="19" spans="1:12" x14ac:dyDescent="0.2">
      <c r="A19" s="1524" t="s">
        <v>136</v>
      </c>
      <c r="B19" s="613">
        <v>1900</v>
      </c>
      <c r="C19" s="466">
        <v>0</v>
      </c>
      <c r="D19" s="466">
        <v>0</v>
      </c>
      <c r="E19" s="466">
        <v>0</v>
      </c>
      <c r="F19" s="466">
        <v>0</v>
      </c>
      <c r="G19" s="466">
        <v>0</v>
      </c>
      <c r="H19" s="466">
        <v>0</v>
      </c>
      <c r="I19" s="467">
        <v>0</v>
      </c>
      <c r="J19" s="467">
        <v>0</v>
      </c>
      <c r="K19" s="1691">
        <f t="shared" si="0"/>
        <v>0</v>
      </c>
      <c r="L19" s="466">
        <v>0</v>
      </c>
    </row>
    <row r="20" spans="1:12" x14ac:dyDescent="0.2">
      <c r="A20" s="1525" t="s">
        <v>762</v>
      </c>
      <c r="B20" s="601" t="s">
        <v>749</v>
      </c>
      <c r="C20" s="476"/>
      <c r="D20" s="476"/>
      <c r="E20" s="476"/>
      <c r="F20" s="476"/>
      <c r="G20" s="476"/>
      <c r="H20" s="467">
        <v>0</v>
      </c>
      <c r="I20" s="615"/>
      <c r="J20" s="475"/>
      <c r="K20" s="1691">
        <f t="shared" si="0"/>
        <v>0</v>
      </c>
      <c r="L20" s="466">
        <v>0</v>
      </c>
    </row>
    <row r="21" spans="1:12" x14ac:dyDescent="0.2">
      <c r="A21" s="1525" t="s">
        <v>763</v>
      </c>
      <c r="B21" s="601" t="s">
        <v>750</v>
      </c>
      <c r="C21" s="476"/>
      <c r="D21" s="476"/>
      <c r="E21" s="476"/>
      <c r="F21" s="476"/>
      <c r="G21" s="476"/>
      <c r="H21" s="474">
        <v>0</v>
      </c>
      <c r="I21" s="615"/>
      <c r="J21" s="476"/>
      <c r="K21" s="1691">
        <f t="shared" si="0"/>
        <v>0</v>
      </c>
      <c r="L21" s="466">
        <v>0</v>
      </c>
    </row>
    <row r="22" spans="1:12" x14ac:dyDescent="0.2">
      <c r="A22" s="1525" t="s">
        <v>764</v>
      </c>
      <c r="B22" s="601" t="s">
        <v>751</v>
      </c>
      <c r="C22" s="476"/>
      <c r="D22" s="476"/>
      <c r="E22" s="476"/>
      <c r="F22" s="476"/>
      <c r="G22" s="476"/>
      <c r="H22" s="474">
        <v>0</v>
      </c>
      <c r="I22" s="615"/>
      <c r="J22" s="476"/>
      <c r="K22" s="1691">
        <f t="shared" si="0"/>
        <v>0</v>
      </c>
      <c r="L22" s="466">
        <v>0</v>
      </c>
    </row>
    <row r="23" spans="1:12" x14ac:dyDescent="0.2">
      <c r="A23" s="1525" t="s">
        <v>765</v>
      </c>
      <c r="B23" s="601" t="s">
        <v>752</v>
      </c>
      <c r="C23" s="476"/>
      <c r="D23" s="476"/>
      <c r="E23" s="476"/>
      <c r="F23" s="476"/>
      <c r="G23" s="476"/>
      <c r="H23" s="474">
        <v>0</v>
      </c>
      <c r="I23" s="615"/>
      <c r="J23" s="476"/>
      <c r="K23" s="1691">
        <f t="shared" si="0"/>
        <v>0</v>
      </c>
      <c r="L23" s="466">
        <v>0</v>
      </c>
    </row>
    <row r="24" spans="1:12" ht="12.75" customHeight="1" x14ac:dyDescent="0.2">
      <c r="A24" s="1525" t="s">
        <v>766</v>
      </c>
      <c r="B24" s="601" t="s">
        <v>753</v>
      </c>
      <c r="C24" s="476"/>
      <c r="D24" s="476"/>
      <c r="E24" s="476"/>
      <c r="F24" s="476"/>
      <c r="G24" s="476"/>
      <c r="H24" s="474">
        <v>0</v>
      </c>
      <c r="I24" s="615"/>
      <c r="J24" s="476"/>
      <c r="K24" s="1691">
        <f t="shared" si="0"/>
        <v>0</v>
      </c>
      <c r="L24" s="466">
        <v>0</v>
      </c>
    </row>
    <row r="25" spans="1:12" ht="12.75" customHeight="1" x14ac:dyDescent="0.2">
      <c r="A25" s="1525" t="s">
        <v>835</v>
      </c>
      <c r="B25" s="601" t="s">
        <v>754</v>
      </c>
      <c r="C25" s="476"/>
      <c r="D25" s="476"/>
      <c r="E25" s="476"/>
      <c r="F25" s="476"/>
      <c r="G25" s="476"/>
      <c r="H25" s="474">
        <v>0</v>
      </c>
      <c r="I25" s="615"/>
      <c r="J25" s="476"/>
      <c r="K25" s="1691">
        <f t="shared" si="0"/>
        <v>0</v>
      </c>
      <c r="L25" s="466">
        <v>0</v>
      </c>
    </row>
    <row r="26" spans="1:12" x14ac:dyDescent="0.2">
      <c r="A26" s="1525" t="s">
        <v>643</v>
      </c>
      <c r="B26" s="601" t="s">
        <v>755</v>
      </c>
      <c r="C26" s="476"/>
      <c r="D26" s="476"/>
      <c r="E26" s="476"/>
      <c r="F26" s="476"/>
      <c r="G26" s="476"/>
      <c r="H26" s="474">
        <v>0</v>
      </c>
      <c r="I26" s="615"/>
      <c r="J26" s="476"/>
      <c r="K26" s="1691">
        <f t="shared" si="0"/>
        <v>0</v>
      </c>
      <c r="L26" s="466">
        <v>0</v>
      </c>
    </row>
    <row r="27" spans="1:12" x14ac:dyDescent="0.2">
      <c r="A27" s="1525" t="s">
        <v>644</v>
      </c>
      <c r="B27" s="601" t="s">
        <v>756</v>
      </c>
      <c r="C27" s="476"/>
      <c r="D27" s="476"/>
      <c r="E27" s="476"/>
      <c r="F27" s="476"/>
      <c r="G27" s="476"/>
      <c r="H27" s="474">
        <v>0</v>
      </c>
      <c r="I27" s="615"/>
      <c r="J27" s="476"/>
      <c r="K27" s="1691">
        <f t="shared" si="0"/>
        <v>0</v>
      </c>
      <c r="L27" s="466">
        <v>0</v>
      </c>
    </row>
    <row r="28" spans="1:12" x14ac:dyDescent="0.2">
      <c r="A28" s="1525" t="s">
        <v>152</v>
      </c>
      <c r="B28" s="601" t="s">
        <v>757</v>
      </c>
      <c r="C28" s="476"/>
      <c r="D28" s="476"/>
      <c r="E28" s="476"/>
      <c r="F28" s="476"/>
      <c r="G28" s="476"/>
      <c r="H28" s="474">
        <v>0</v>
      </c>
      <c r="I28" s="615"/>
      <c r="J28" s="476"/>
      <c r="K28" s="1691">
        <f t="shared" si="0"/>
        <v>0</v>
      </c>
      <c r="L28" s="466">
        <v>0</v>
      </c>
    </row>
    <row r="29" spans="1:12" x14ac:dyDescent="0.2">
      <c r="A29" s="1525" t="s">
        <v>153</v>
      </c>
      <c r="B29" s="601" t="s">
        <v>758</v>
      </c>
      <c r="C29" s="476"/>
      <c r="D29" s="476"/>
      <c r="E29" s="476"/>
      <c r="F29" s="476"/>
      <c r="G29" s="476"/>
      <c r="H29" s="474">
        <v>0</v>
      </c>
      <c r="I29" s="615"/>
      <c r="J29" s="476"/>
      <c r="K29" s="1691">
        <f t="shared" si="0"/>
        <v>0</v>
      </c>
      <c r="L29" s="466">
        <v>0</v>
      </c>
    </row>
    <row r="30" spans="1:12" x14ac:dyDescent="0.2">
      <c r="A30" s="1525" t="s">
        <v>154</v>
      </c>
      <c r="B30" s="601" t="s">
        <v>759</v>
      </c>
      <c r="C30" s="476"/>
      <c r="D30" s="476"/>
      <c r="E30" s="476"/>
      <c r="F30" s="476"/>
      <c r="G30" s="476"/>
      <c r="H30" s="474">
        <v>0</v>
      </c>
      <c r="I30" s="615"/>
      <c r="J30" s="476"/>
      <c r="K30" s="1691">
        <f t="shared" si="0"/>
        <v>0</v>
      </c>
      <c r="L30" s="466">
        <v>0</v>
      </c>
    </row>
    <row r="31" spans="1:12" x14ac:dyDescent="0.2">
      <c r="A31" s="1525" t="s">
        <v>155</v>
      </c>
      <c r="B31" s="601" t="s">
        <v>760</v>
      </c>
      <c r="C31" s="476"/>
      <c r="D31" s="476"/>
      <c r="E31" s="476"/>
      <c r="F31" s="476"/>
      <c r="G31" s="476"/>
      <c r="H31" s="474">
        <v>0</v>
      </c>
      <c r="I31" s="615"/>
      <c r="J31" s="476"/>
      <c r="K31" s="1691">
        <f t="shared" si="0"/>
        <v>0</v>
      </c>
      <c r="L31" s="466">
        <v>0</v>
      </c>
    </row>
    <row r="32" spans="1:12" x14ac:dyDescent="0.2">
      <c r="A32" s="1526" t="s">
        <v>1191</v>
      </c>
      <c r="B32" s="613" t="s">
        <v>761</v>
      </c>
      <c r="C32" s="476"/>
      <c r="D32" s="476"/>
      <c r="E32" s="476"/>
      <c r="F32" s="476"/>
      <c r="G32" s="476"/>
      <c r="H32" s="474">
        <v>0</v>
      </c>
      <c r="I32" s="615"/>
      <c r="J32" s="479"/>
      <c r="K32" s="1691">
        <f t="shared" si="0"/>
        <v>0</v>
      </c>
      <c r="L32" s="466">
        <v>0</v>
      </c>
    </row>
    <row r="33" spans="1:14" ht="12.75" customHeight="1" thickBot="1" x14ac:dyDescent="0.25">
      <c r="A33" s="1688" t="s">
        <v>1767</v>
      </c>
      <c r="B33" s="1689" t="s">
        <v>591</v>
      </c>
      <c r="C33" s="1690">
        <f>SUM(C5:C32)</f>
        <v>3379886</v>
      </c>
      <c r="D33" s="1690">
        <f t="shared" ref="D33:L33" si="1">SUM(D5:D32)</f>
        <v>748451</v>
      </c>
      <c r="E33" s="1690">
        <f t="shared" si="1"/>
        <v>108061</v>
      </c>
      <c r="F33" s="1690">
        <f t="shared" si="1"/>
        <v>61631</v>
      </c>
      <c r="G33" s="1690">
        <f t="shared" si="1"/>
        <v>0</v>
      </c>
      <c r="H33" s="1690">
        <f t="shared" si="1"/>
        <v>1530</v>
      </c>
      <c r="I33" s="1690">
        <f t="shared" si="1"/>
        <v>38203</v>
      </c>
      <c r="J33" s="1690">
        <f t="shared" si="1"/>
        <v>0</v>
      </c>
      <c r="K33" s="1690">
        <f t="shared" si="1"/>
        <v>4337762</v>
      </c>
      <c r="L33" s="1690">
        <f t="shared" si="1"/>
        <v>4164728</v>
      </c>
    </row>
    <row r="34" spans="1:14" s="619" customFormat="1" ht="15.95" customHeight="1" thickTop="1" x14ac:dyDescent="0.2">
      <c r="A34" s="1628" t="s">
        <v>48</v>
      </c>
      <c r="B34" s="1629" t="s">
        <v>590</v>
      </c>
      <c r="C34" s="617"/>
      <c r="D34" s="617"/>
      <c r="E34" s="617"/>
      <c r="F34" s="617"/>
      <c r="G34" s="617"/>
      <c r="H34" s="617"/>
      <c r="I34" s="615"/>
      <c r="J34" s="615"/>
      <c r="K34" s="615"/>
      <c r="L34" s="615"/>
      <c r="M34" s="618"/>
      <c r="N34" s="618"/>
    </row>
    <row r="35" spans="1:14" s="619" customFormat="1" ht="15.95" customHeight="1" x14ac:dyDescent="0.2">
      <c r="A35" s="620" t="s">
        <v>612</v>
      </c>
      <c r="B35" s="621"/>
      <c r="C35" s="622"/>
      <c r="D35" s="622"/>
      <c r="E35" s="622"/>
      <c r="F35" s="622"/>
      <c r="G35" s="622"/>
      <c r="H35" s="622"/>
      <c r="I35" s="615"/>
      <c r="J35" s="615"/>
      <c r="K35" s="615"/>
      <c r="L35" s="615"/>
      <c r="M35" s="618"/>
      <c r="N35" s="618"/>
    </row>
    <row r="36" spans="1:14" x14ac:dyDescent="0.2">
      <c r="A36" s="1524" t="s">
        <v>1150</v>
      </c>
      <c r="B36" s="613">
        <v>2110</v>
      </c>
      <c r="C36" s="480">
        <v>488302</v>
      </c>
      <c r="D36" s="480">
        <v>79400</v>
      </c>
      <c r="E36" s="480">
        <v>609</v>
      </c>
      <c r="F36" s="480">
        <v>393</v>
      </c>
      <c r="G36" s="480">
        <v>0</v>
      </c>
      <c r="H36" s="480">
        <v>0</v>
      </c>
      <c r="I36" s="467">
        <v>0</v>
      </c>
      <c r="J36" s="467">
        <v>0</v>
      </c>
      <c r="K36" s="1691">
        <f t="shared" ref="K36:K41" si="2">SUM(C36:J36)</f>
        <v>568704</v>
      </c>
      <c r="L36" s="466">
        <v>546880</v>
      </c>
    </row>
    <row r="37" spans="1:14" x14ac:dyDescent="0.2">
      <c r="A37" s="1524" t="s">
        <v>1151</v>
      </c>
      <c r="B37" s="613">
        <v>2120</v>
      </c>
      <c r="C37" s="466">
        <v>0</v>
      </c>
      <c r="D37" s="466">
        <v>0</v>
      </c>
      <c r="E37" s="466">
        <v>0</v>
      </c>
      <c r="F37" s="466">
        <v>0</v>
      </c>
      <c r="G37" s="466">
        <v>0</v>
      </c>
      <c r="H37" s="466">
        <v>0</v>
      </c>
      <c r="I37" s="467">
        <v>0</v>
      </c>
      <c r="J37" s="467">
        <v>0</v>
      </c>
      <c r="K37" s="1691">
        <f t="shared" si="2"/>
        <v>0</v>
      </c>
      <c r="L37" s="466">
        <v>0</v>
      </c>
    </row>
    <row r="38" spans="1:14" x14ac:dyDescent="0.2">
      <c r="A38" s="1524" t="s">
        <v>207</v>
      </c>
      <c r="B38" s="613">
        <v>2130</v>
      </c>
      <c r="C38" s="466">
        <v>0</v>
      </c>
      <c r="D38" s="466">
        <v>0</v>
      </c>
      <c r="E38" s="466">
        <v>161047</v>
      </c>
      <c r="F38" s="466">
        <v>459</v>
      </c>
      <c r="G38" s="466">
        <v>0</v>
      </c>
      <c r="H38" s="466">
        <v>0</v>
      </c>
      <c r="I38" s="467">
        <v>0</v>
      </c>
      <c r="J38" s="467">
        <v>0</v>
      </c>
      <c r="K38" s="1691">
        <f t="shared" si="2"/>
        <v>161506</v>
      </c>
      <c r="L38" s="466">
        <v>169700</v>
      </c>
    </row>
    <row r="39" spans="1:14" x14ac:dyDescent="0.2">
      <c r="A39" s="1524" t="s">
        <v>208</v>
      </c>
      <c r="B39" s="613">
        <v>2140</v>
      </c>
      <c r="C39" s="466">
        <v>492658</v>
      </c>
      <c r="D39" s="466">
        <v>78134</v>
      </c>
      <c r="E39" s="466">
        <v>5924</v>
      </c>
      <c r="F39" s="466">
        <v>10573</v>
      </c>
      <c r="G39" s="466">
        <v>0</v>
      </c>
      <c r="H39" s="466">
        <v>199</v>
      </c>
      <c r="I39" s="467">
        <v>4843</v>
      </c>
      <c r="J39" s="467">
        <v>0</v>
      </c>
      <c r="K39" s="1691">
        <f t="shared" si="2"/>
        <v>592331</v>
      </c>
      <c r="L39" s="466">
        <v>592850</v>
      </c>
    </row>
    <row r="40" spans="1:14" x14ac:dyDescent="0.2">
      <c r="A40" s="1524" t="s">
        <v>209</v>
      </c>
      <c r="B40" s="613">
        <v>2150</v>
      </c>
      <c r="C40" s="466">
        <v>534895</v>
      </c>
      <c r="D40" s="466">
        <v>94241</v>
      </c>
      <c r="E40" s="466">
        <v>1098</v>
      </c>
      <c r="F40" s="466">
        <v>2056</v>
      </c>
      <c r="G40" s="466">
        <v>0</v>
      </c>
      <c r="H40" s="466">
        <v>1636</v>
      </c>
      <c r="I40" s="467">
        <v>0</v>
      </c>
      <c r="J40" s="467">
        <v>0</v>
      </c>
      <c r="K40" s="1691">
        <f t="shared" si="2"/>
        <v>633926</v>
      </c>
      <c r="L40" s="466">
        <v>624200</v>
      </c>
    </row>
    <row r="41" spans="1:14" x14ac:dyDescent="0.2">
      <c r="A41" s="1524" t="s">
        <v>1768</v>
      </c>
      <c r="B41" s="613">
        <v>2190</v>
      </c>
      <c r="C41" s="466">
        <v>0</v>
      </c>
      <c r="D41" s="466">
        <v>0</v>
      </c>
      <c r="E41" s="466">
        <v>0</v>
      </c>
      <c r="F41" s="466">
        <v>0</v>
      </c>
      <c r="G41" s="466">
        <v>0</v>
      </c>
      <c r="H41" s="466">
        <v>0</v>
      </c>
      <c r="I41" s="467">
        <v>0</v>
      </c>
      <c r="J41" s="467">
        <v>0</v>
      </c>
      <c r="K41" s="1691">
        <f t="shared" si="2"/>
        <v>0</v>
      </c>
      <c r="L41" s="466">
        <v>0</v>
      </c>
    </row>
    <row r="42" spans="1:14" ht="12.75" customHeight="1" thickBot="1" x14ac:dyDescent="0.25">
      <c r="A42" s="1688" t="s">
        <v>581</v>
      </c>
      <c r="B42" s="1689" t="s">
        <v>740</v>
      </c>
      <c r="C42" s="1690">
        <f>SUM(C36:C41)</f>
        <v>1515855</v>
      </c>
      <c r="D42" s="1690">
        <f t="shared" ref="D42:L42" si="3">SUM(D36:D41)</f>
        <v>251775</v>
      </c>
      <c r="E42" s="1690">
        <f t="shared" si="3"/>
        <v>168678</v>
      </c>
      <c r="F42" s="1690">
        <f t="shared" si="3"/>
        <v>13481</v>
      </c>
      <c r="G42" s="1690">
        <f t="shared" si="3"/>
        <v>0</v>
      </c>
      <c r="H42" s="1690">
        <f t="shared" si="3"/>
        <v>1835</v>
      </c>
      <c r="I42" s="1690">
        <f t="shared" si="3"/>
        <v>4843</v>
      </c>
      <c r="J42" s="1690">
        <f t="shared" si="3"/>
        <v>0</v>
      </c>
      <c r="K42" s="1690">
        <f t="shared" si="3"/>
        <v>1956467</v>
      </c>
      <c r="L42" s="1690">
        <f t="shared" si="3"/>
        <v>1933630</v>
      </c>
    </row>
    <row r="43" spans="1:14" ht="15.95" customHeight="1" thickTop="1" x14ac:dyDescent="0.2">
      <c r="A43" s="623" t="s">
        <v>613</v>
      </c>
      <c r="B43" s="624"/>
      <c r="C43" s="625"/>
      <c r="D43" s="625"/>
      <c r="E43" s="625"/>
      <c r="F43" s="625"/>
      <c r="G43" s="625"/>
      <c r="H43" s="625"/>
      <c r="I43" s="615"/>
      <c r="J43" s="615"/>
      <c r="K43" s="625"/>
      <c r="L43" s="625"/>
    </row>
    <row r="44" spans="1:14" x14ac:dyDescent="0.2">
      <c r="A44" s="1524" t="s">
        <v>868</v>
      </c>
      <c r="B44" s="613">
        <v>2210</v>
      </c>
      <c r="C44" s="480">
        <v>521524</v>
      </c>
      <c r="D44" s="480">
        <v>209078</v>
      </c>
      <c r="E44" s="480">
        <v>60119</v>
      </c>
      <c r="F44" s="480">
        <v>1885</v>
      </c>
      <c r="G44" s="480">
        <v>0</v>
      </c>
      <c r="H44" s="480">
        <v>0</v>
      </c>
      <c r="I44" s="467">
        <v>3087</v>
      </c>
      <c r="J44" s="467">
        <v>0</v>
      </c>
      <c r="K44" s="1692">
        <f>SUM(C44:J44)</f>
        <v>795693</v>
      </c>
      <c r="L44" s="480">
        <v>779822</v>
      </c>
    </row>
    <row r="45" spans="1:14" x14ac:dyDescent="0.2">
      <c r="A45" s="1524" t="s">
        <v>869</v>
      </c>
      <c r="B45" s="613">
        <v>2220</v>
      </c>
      <c r="C45" s="467">
        <v>0</v>
      </c>
      <c r="D45" s="466">
        <v>0</v>
      </c>
      <c r="E45" s="466">
        <v>0</v>
      </c>
      <c r="F45" s="466">
        <v>0</v>
      </c>
      <c r="G45" s="466">
        <v>0</v>
      </c>
      <c r="H45" s="466">
        <v>0</v>
      </c>
      <c r="I45" s="467">
        <v>0</v>
      </c>
      <c r="J45" s="467">
        <v>0</v>
      </c>
      <c r="K45" s="1692">
        <f>SUM(C45:J45)</f>
        <v>0</v>
      </c>
      <c r="L45" s="466">
        <v>0</v>
      </c>
    </row>
    <row r="46" spans="1:14" x14ac:dyDescent="0.2">
      <c r="A46" s="1524" t="s">
        <v>870</v>
      </c>
      <c r="B46" s="613">
        <v>2230</v>
      </c>
      <c r="C46" s="467">
        <v>0</v>
      </c>
      <c r="D46" s="466">
        <v>0</v>
      </c>
      <c r="E46" s="466">
        <v>0</v>
      </c>
      <c r="F46" s="466">
        <v>0</v>
      </c>
      <c r="G46" s="466">
        <v>0</v>
      </c>
      <c r="H46" s="466">
        <v>0</v>
      </c>
      <c r="I46" s="467">
        <v>0</v>
      </c>
      <c r="J46" s="467">
        <v>0</v>
      </c>
      <c r="K46" s="1692">
        <f>SUM(C46:J46)</f>
        <v>0</v>
      </c>
      <c r="L46" s="466">
        <v>0</v>
      </c>
    </row>
    <row r="47" spans="1:14" ht="12.75" customHeight="1" thickBot="1" x14ac:dyDescent="0.25">
      <c r="A47" s="1688" t="s">
        <v>582</v>
      </c>
      <c r="B47" s="1689" t="s">
        <v>32</v>
      </c>
      <c r="C47" s="1690">
        <f>SUM(C44:C46)</f>
        <v>521524</v>
      </c>
      <c r="D47" s="1690">
        <f t="shared" ref="D47:K47" si="4">SUM(D44:D46)</f>
        <v>209078</v>
      </c>
      <c r="E47" s="1690">
        <f t="shared" si="4"/>
        <v>60119</v>
      </c>
      <c r="F47" s="1690">
        <f t="shared" si="4"/>
        <v>1885</v>
      </c>
      <c r="G47" s="1690">
        <f t="shared" si="4"/>
        <v>0</v>
      </c>
      <c r="H47" s="1690">
        <f t="shared" si="4"/>
        <v>0</v>
      </c>
      <c r="I47" s="1690">
        <f t="shared" si="4"/>
        <v>3087</v>
      </c>
      <c r="J47" s="1690">
        <f t="shared" si="4"/>
        <v>0</v>
      </c>
      <c r="K47" s="1690">
        <f t="shared" si="4"/>
        <v>795693</v>
      </c>
      <c r="L47" s="1690">
        <f>SUM(L44:L46)</f>
        <v>779822</v>
      </c>
    </row>
    <row r="48" spans="1:14" ht="15.95" customHeight="1" thickTop="1" x14ac:dyDescent="0.2">
      <c r="A48" s="623" t="s">
        <v>631</v>
      </c>
      <c r="B48" s="624"/>
      <c r="C48" s="625"/>
      <c r="D48" s="625"/>
      <c r="E48" s="625"/>
      <c r="F48" s="625"/>
      <c r="G48" s="625"/>
      <c r="H48" s="625"/>
      <c r="I48" s="615"/>
      <c r="J48" s="615"/>
      <c r="K48" s="625"/>
      <c r="L48" s="625"/>
    </row>
    <row r="49" spans="1:14" x14ac:dyDescent="0.2">
      <c r="A49" s="1524" t="s">
        <v>871</v>
      </c>
      <c r="B49" s="613">
        <v>2310</v>
      </c>
      <c r="C49" s="480">
        <v>0</v>
      </c>
      <c r="D49" s="480">
        <v>0</v>
      </c>
      <c r="E49" s="480">
        <v>0</v>
      </c>
      <c r="F49" s="480">
        <v>0</v>
      </c>
      <c r="G49" s="480">
        <v>0</v>
      </c>
      <c r="H49" s="480">
        <v>0</v>
      </c>
      <c r="I49" s="467">
        <v>0</v>
      </c>
      <c r="J49" s="467">
        <v>0</v>
      </c>
      <c r="K49" s="1692">
        <f>SUM(C49:J49)</f>
        <v>0</v>
      </c>
      <c r="L49" s="466">
        <v>0</v>
      </c>
    </row>
    <row r="50" spans="1:14" x14ac:dyDescent="0.2">
      <c r="A50" s="1524" t="s">
        <v>872</v>
      </c>
      <c r="B50" s="613">
        <v>2320</v>
      </c>
      <c r="C50" s="466">
        <v>0</v>
      </c>
      <c r="D50" s="466">
        <v>0</v>
      </c>
      <c r="E50" s="466">
        <v>0</v>
      </c>
      <c r="F50" s="466">
        <v>0</v>
      </c>
      <c r="G50" s="466">
        <v>0</v>
      </c>
      <c r="H50" s="466">
        <v>0</v>
      </c>
      <c r="I50" s="467">
        <v>0</v>
      </c>
      <c r="J50" s="467">
        <v>0</v>
      </c>
      <c r="K50" s="1692">
        <f>SUM(C50:J50)</f>
        <v>0</v>
      </c>
      <c r="L50" s="466">
        <v>0</v>
      </c>
    </row>
    <row r="51" spans="1:14" x14ac:dyDescent="0.2">
      <c r="A51" s="1524" t="s">
        <v>44</v>
      </c>
      <c r="B51" s="613">
        <v>2330</v>
      </c>
      <c r="C51" s="466">
        <v>170154</v>
      </c>
      <c r="D51" s="466">
        <v>76078</v>
      </c>
      <c r="E51" s="466">
        <v>47290</v>
      </c>
      <c r="F51" s="466">
        <v>17297</v>
      </c>
      <c r="G51" s="466">
        <v>0</v>
      </c>
      <c r="H51" s="466">
        <v>20544</v>
      </c>
      <c r="I51" s="467">
        <v>0</v>
      </c>
      <c r="J51" s="467">
        <v>0</v>
      </c>
      <c r="K51" s="1692">
        <f>SUM(C51:J51)</f>
        <v>331363</v>
      </c>
      <c r="L51" s="466">
        <v>323489</v>
      </c>
    </row>
    <row r="52" spans="1:14" ht="22.5" x14ac:dyDescent="0.2">
      <c r="A52" s="1525" t="s">
        <v>316</v>
      </c>
      <c r="B52" s="626" t="s">
        <v>384</v>
      </c>
      <c r="C52" s="474">
        <v>0</v>
      </c>
      <c r="D52" s="474">
        <v>0</v>
      </c>
      <c r="E52" s="474">
        <v>0</v>
      </c>
      <c r="F52" s="474">
        <v>0</v>
      </c>
      <c r="G52" s="474">
        <v>0</v>
      </c>
      <c r="H52" s="474">
        <v>0</v>
      </c>
      <c r="I52" s="474">
        <v>0</v>
      </c>
      <c r="J52" s="474">
        <v>0</v>
      </c>
      <c r="K52" s="1692">
        <f>SUM(C52:J52)</f>
        <v>0</v>
      </c>
      <c r="L52" s="466">
        <v>0</v>
      </c>
    </row>
    <row r="53" spans="1:14" ht="12.75" customHeight="1" thickBot="1" x14ac:dyDescent="0.25">
      <c r="A53" s="1688" t="s">
        <v>741</v>
      </c>
      <c r="B53" s="1689" t="s">
        <v>33</v>
      </c>
      <c r="C53" s="1690">
        <f>SUM(C49:C52)</f>
        <v>170154</v>
      </c>
      <c r="D53" s="1690">
        <f t="shared" ref="D53:L53" si="5">SUM(D49:D52)</f>
        <v>76078</v>
      </c>
      <c r="E53" s="1690">
        <f t="shared" si="5"/>
        <v>47290</v>
      </c>
      <c r="F53" s="1690">
        <f t="shared" si="5"/>
        <v>17297</v>
      </c>
      <c r="G53" s="1690">
        <f t="shared" si="5"/>
        <v>0</v>
      </c>
      <c r="H53" s="1690">
        <f t="shared" si="5"/>
        <v>20544</v>
      </c>
      <c r="I53" s="1690">
        <f t="shared" si="5"/>
        <v>0</v>
      </c>
      <c r="J53" s="1690">
        <f t="shared" si="5"/>
        <v>0</v>
      </c>
      <c r="K53" s="1690">
        <f t="shared" si="5"/>
        <v>331363</v>
      </c>
      <c r="L53" s="1690">
        <f t="shared" si="5"/>
        <v>323489</v>
      </c>
    </row>
    <row r="54" spans="1:14" ht="15.95" customHeight="1" thickTop="1" x14ac:dyDescent="0.2">
      <c r="A54" s="623" t="s">
        <v>632</v>
      </c>
      <c r="B54" s="624"/>
      <c r="C54" s="625"/>
      <c r="D54" s="625"/>
      <c r="E54" s="625"/>
      <c r="F54" s="625"/>
      <c r="G54" s="625"/>
      <c r="H54" s="625"/>
      <c r="I54" s="615"/>
      <c r="J54" s="615"/>
      <c r="K54" s="625"/>
      <c r="L54" s="625"/>
    </row>
    <row r="55" spans="1:14" x14ac:dyDescent="0.2">
      <c r="A55" s="1524" t="s">
        <v>1127</v>
      </c>
      <c r="B55" s="613">
        <v>2410</v>
      </c>
      <c r="C55" s="480">
        <v>84757</v>
      </c>
      <c r="D55" s="480">
        <v>19827</v>
      </c>
      <c r="E55" s="480">
        <v>1500</v>
      </c>
      <c r="F55" s="480">
        <v>33777</v>
      </c>
      <c r="G55" s="480">
        <v>0</v>
      </c>
      <c r="H55" s="480">
        <v>0</v>
      </c>
      <c r="I55" s="467">
        <v>0</v>
      </c>
      <c r="J55" s="467">
        <v>0</v>
      </c>
      <c r="K55" s="1692">
        <f>SUM(C55:J55)</f>
        <v>139861</v>
      </c>
      <c r="L55" s="480">
        <v>108113</v>
      </c>
    </row>
    <row r="56" spans="1:14" ht="12.75" customHeight="1" x14ac:dyDescent="0.2">
      <c r="A56" s="1528" t="s">
        <v>394</v>
      </c>
      <c r="B56" s="627">
        <v>2490</v>
      </c>
      <c r="C56" s="466">
        <v>0</v>
      </c>
      <c r="D56" s="466">
        <v>0</v>
      </c>
      <c r="E56" s="466">
        <v>0</v>
      </c>
      <c r="F56" s="466">
        <v>0</v>
      </c>
      <c r="G56" s="466">
        <v>0</v>
      </c>
      <c r="H56" s="466">
        <v>0</v>
      </c>
      <c r="I56" s="467">
        <v>0</v>
      </c>
      <c r="J56" s="467">
        <v>0</v>
      </c>
      <c r="K56" s="1692">
        <f>SUM(C56:J56)</f>
        <v>0</v>
      </c>
      <c r="L56" s="466">
        <v>35477</v>
      </c>
    </row>
    <row r="57" spans="1:14" s="343" customFormat="1" ht="12.75" customHeight="1" thickBot="1" x14ac:dyDescent="0.25">
      <c r="A57" s="1688" t="s">
        <v>281</v>
      </c>
      <c r="B57" s="1693" t="s">
        <v>34</v>
      </c>
      <c r="C57" s="1694">
        <f>SUM(C55:C56)</f>
        <v>84757</v>
      </c>
      <c r="D57" s="1694">
        <f t="shared" ref="D57:K57" si="6">SUM(D55:D56)</f>
        <v>19827</v>
      </c>
      <c r="E57" s="1694">
        <f t="shared" si="6"/>
        <v>1500</v>
      </c>
      <c r="F57" s="1694">
        <f t="shared" si="6"/>
        <v>33777</v>
      </c>
      <c r="G57" s="1694">
        <f t="shared" si="6"/>
        <v>0</v>
      </c>
      <c r="H57" s="1694">
        <f t="shared" si="6"/>
        <v>0</v>
      </c>
      <c r="I57" s="1694">
        <f t="shared" si="6"/>
        <v>0</v>
      </c>
      <c r="J57" s="1694">
        <f t="shared" si="6"/>
        <v>0</v>
      </c>
      <c r="K57" s="1694">
        <f t="shared" si="6"/>
        <v>139861</v>
      </c>
      <c r="L57" s="1690">
        <f>SUM(L55:L56)</f>
        <v>143590</v>
      </c>
      <c r="M57" s="608"/>
      <c r="N57" s="608"/>
    </row>
    <row r="58" spans="1:14" s="343" customFormat="1" ht="15.9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4" t="s">
        <v>1128</v>
      </c>
      <c r="B59" s="613">
        <v>2510</v>
      </c>
      <c r="C59" s="480">
        <v>0</v>
      </c>
      <c r="D59" s="480">
        <v>0</v>
      </c>
      <c r="E59" s="480">
        <v>0</v>
      </c>
      <c r="F59" s="480">
        <v>0</v>
      </c>
      <c r="G59" s="480">
        <v>0</v>
      </c>
      <c r="H59" s="480">
        <v>0</v>
      </c>
      <c r="I59" s="467">
        <v>0</v>
      </c>
      <c r="J59" s="467">
        <v>0</v>
      </c>
      <c r="K59" s="1692">
        <f t="shared" ref="K59:K64" si="7">SUM(C59:J59)</f>
        <v>0</v>
      </c>
      <c r="L59" s="480">
        <v>0</v>
      </c>
      <c r="M59" s="608"/>
      <c r="N59" s="608"/>
    </row>
    <row r="60" spans="1:14" s="343" customFormat="1" x14ac:dyDescent="0.2">
      <c r="A60" s="1524" t="s">
        <v>483</v>
      </c>
      <c r="B60" s="613">
        <v>2520</v>
      </c>
      <c r="C60" s="466">
        <v>35390</v>
      </c>
      <c r="D60" s="466">
        <v>9979</v>
      </c>
      <c r="E60" s="466">
        <v>5001</v>
      </c>
      <c r="F60" s="466">
        <v>304</v>
      </c>
      <c r="G60" s="466">
        <v>0</v>
      </c>
      <c r="H60" s="466">
        <v>9126</v>
      </c>
      <c r="I60" s="467">
        <v>0</v>
      </c>
      <c r="J60" s="467">
        <v>0</v>
      </c>
      <c r="K60" s="1692">
        <f t="shared" si="7"/>
        <v>59800</v>
      </c>
      <c r="L60" s="466">
        <v>70350</v>
      </c>
      <c r="M60" s="608"/>
      <c r="N60" s="608"/>
    </row>
    <row r="61" spans="1:14" s="343" customFormat="1" x14ac:dyDescent="0.2">
      <c r="A61" s="1524" t="s">
        <v>206</v>
      </c>
      <c r="B61" s="613">
        <v>2540</v>
      </c>
      <c r="C61" s="467">
        <v>15558</v>
      </c>
      <c r="D61" s="466">
        <v>2249</v>
      </c>
      <c r="E61" s="466">
        <v>50091</v>
      </c>
      <c r="F61" s="466">
        <v>6428</v>
      </c>
      <c r="G61" s="466">
        <v>0</v>
      </c>
      <c r="H61" s="466">
        <v>0</v>
      </c>
      <c r="I61" s="467">
        <v>0</v>
      </c>
      <c r="J61" s="467">
        <v>0</v>
      </c>
      <c r="K61" s="1692">
        <f t="shared" si="7"/>
        <v>74326</v>
      </c>
      <c r="L61" s="466">
        <v>80377</v>
      </c>
      <c r="M61" s="608"/>
      <c r="N61" s="608"/>
    </row>
    <row r="62" spans="1:14" s="343" customFormat="1" x14ac:dyDescent="0.2">
      <c r="A62" s="1524" t="s">
        <v>1010</v>
      </c>
      <c r="B62" s="613">
        <v>2550</v>
      </c>
      <c r="C62" s="467">
        <v>0</v>
      </c>
      <c r="D62" s="466">
        <v>0</v>
      </c>
      <c r="E62" s="466">
        <v>0</v>
      </c>
      <c r="F62" s="466">
        <v>0</v>
      </c>
      <c r="G62" s="466">
        <v>0</v>
      </c>
      <c r="H62" s="466">
        <v>0</v>
      </c>
      <c r="I62" s="467">
        <v>0</v>
      </c>
      <c r="J62" s="467">
        <v>0</v>
      </c>
      <c r="K62" s="1692">
        <f t="shared" si="7"/>
        <v>0</v>
      </c>
      <c r="L62" s="466">
        <v>0</v>
      </c>
      <c r="M62" s="608"/>
      <c r="N62" s="608"/>
    </row>
    <row r="63" spans="1:14" s="608" customFormat="1" x14ac:dyDescent="0.2">
      <c r="A63" s="1524" t="s">
        <v>102</v>
      </c>
      <c r="B63" s="613">
        <v>2560</v>
      </c>
      <c r="C63" s="466">
        <v>0</v>
      </c>
      <c r="D63" s="466">
        <v>0</v>
      </c>
      <c r="E63" s="466">
        <v>62682</v>
      </c>
      <c r="F63" s="466">
        <v>0</v>
      </c>
      <c r="G63" s="466">
        <v>0</v>
      </c>
      <c r="H63" s="466">
        <v>0</v>
      </c>
      <c r="I63" s="467">
        <v>0</v>
      </c>
      <c r="J63" s="467">
        <v>0</v>
      </c>
      <c r="K63" s="1692">
        <f t="shared" si="7"/>
        <v>62682</v>
      </c>
      <c r="L63" s="466">
        <v>51000</v>
      </c>
    </row>
    <row r="64" spans="1:14" s="608" customFormat="1" x14ac:dyDescent="0.2">
      <c r="A64" s="1529" t="s">
        <v>103</v>
      </c>
      <c r="B64" s="629">
        <v>2570</v>
      </c>
      <c r="C64" s="480">
        <v>0</v>
      </c>
      <c r="D64" s="480">
        <v>0</v>
      </c>
      <c r="E64" s="480">
        <v>0</v>
      </c>
      <c r="F64" s="480">
        <v>0</v>
      </c>
      <c r="G64" s="480">
        <v>0</v>
      </c>
      <c r="H64" s="480">
        <v>0</v>
      </c>
      <c r="I64" s="467">
        <v>0</v>
      </c>
      <c r="J64" s="467">
        <v>0</v>
      </c>
      <c r="K64" s="1692">
        <f t="shared" si="7"/>
        <v>0</v>
      </c>
      <c r="L64" s="480">
        <v>0</v>
      </c>
    </row>
    <row r="65" spans="1:14" s="343" customFormat="1" ht="12.75" customHeight="1" thickBot="1" x14ac:dyDescent="0.25">
      <c r="A65" s="1688" t="s">
        <v>743</v>
      </c>
      <c r="B65" s="1689" t="s">
        <v>35</v>
      </c>
      <c r="C65" s="1690">
        <f>SUM(C59:C64)</f>
        <v>50948</v>
      </c>
      <c r="D65" s="1690">
        <f t="shared" ref="D65:L65" si="8">SUM(D59:D64)</f>
        <v>12228</v>
      </c>
      <c r="E65" s="1690">
        <f t="shared" si="8"/>
        <v>117774</v>
      </c>
      <c r="F65" s="1690">
        <f t="shared" si="8"/>
        <v>6732</v>
      </c>
      <c r="G65" s="1690">
        <f t="shared" si="8"/>
        <v>0</v>
      </c>
      <c r="H65" s="1690">
        <f t="shared" si="8"/>
        <v>9126</v>
      </c>
      <c r="I65" s="1690">
        <f t="shared" si="8"/>
        <v>0</v>
      </c>
      <c r="J65" s="1690">
        <f t="shared" si="8"/>
        <v>0</v>
      </c>
      <c r="K65" s="1690">
        <f t="shared" si="8"/>
        <v>196808</v>
      </c>
      <c r="L65" s="1690">
        <f t="shared" si="8"/>
        <v>201727</v>
      </c>
      <c r="M65" s="608"/>
      <c r="N65" s="608"/>
    </row>
    <row r="66" spans="1:14" s="343" customFormat="1" ht="15.9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4" t="s">
        <v>1120</v>
      </c>
      <c r="B67" s="613">
        <v>2610</v>
      </c>
      <c r="C67" s="466">
        <v>0</v>
      </c>
      <c r="D67" s="466">
        <v>0</v>
      </c>
      <c r="E67" s="466">
        <v>13171</v>
      </c>
      <c r="F67" s="466">
        <v>0</v>
      </c>
      <c r="G67" s="466">
        <v>0</v>
      </c>
      <c r="H67" s="466">
        <v>0</v>
      </c>
      <c r="I67" s="467">
        <v>0</v>
      </c>
      <c r="J67" s="467">
        <v>0</v>
      </c>
      <c r="K67" s="1692">
        <f>SUM(C67:J67)</f>
        <v>13171</v>
      </c>
      <c r="L67" s="480">
        <v>12000</v>
      </c>
      <c r="M67" s="608"/>
      <c r="N67" s="608"/>
    </row>
    <row r="68" spans="1:14" s="343" customFormat="1" x14ac:dyDescent="0.2">
      <c r="A68" s="1524" t="s">
        <v>628</v>
      </c>
      <c r="B68" s="613">
        <v>2620</v>
      </c>
      <c r="C68" s="466">
        <v>0</v>
      </c>
      <c r="D68" s="466">
        <v>0</v>
      </c>
      <c r="E68" s="466">
        <v>0</v>
      </c>
      <c r="F68" s="466">
        <v>0</v>
      </c>
      <c r="G68" s="466">
        <v>0</v>
      </c>
      <c r="H68" s="466">
        <v>0</v>
      </c>
      <c r="I68" s="467">
        <v>0</v>
      </c>
      <c r="J68" s="467">
        <v>0</v>
      </c>
      <c r="K68" s="1692">
        <f>SUM(C68:J68)</f>
        <v>0</v>
      </c>
      <c r="L68" s="466">
        <v>0</v>
      </c>
      <c r="M68" s="608"/>
      <c r="N68" s="608"/>
    </row>
    <row r="69" spans="1:14" s="343" customFormat="1" x14ac:dyDescent="0.2">
      <c r="A69" s="1524" t="s">
        <v>1121</v>
      </c>
      <c r="B69" s="613">
        <v>2630</v>
      </c>
      <c r="C69" s="466">
        <v>0</v>
      </c>
      <c r="D69" s="466">
        <v>0</v>
      </c>
      <c r="E69" s="466">
        <v>2930</v>
      </c>
      <c r="F69" s="466">
        <v>548</v>
      </c>
      <c r="G69" s="466">
        <v>0</v>
      </c>
      <c r="H69" s="466">
        <v>0</v>
      </c>
      <c r="I69" s="467">
        <v>0</v>
      </c>
      <c r="J69" s="467">
        <v>0</v>
      </c>
      <c r="K69" s="1692">
        <f>SUM(C69:J69)</f>
        <v>3478</v>
      </c>
      <c r="L69" s="466">
        <v>3600</v>
      </c>
      <c r="M69" s="608"/>
      <c r="N69" s="608"/>
    </row>
    <row r="70" spans="1:14" s="343" customFormat="1" x14ac:dyDescent="0.2">
      <c r="A70" s="1524" t="s">
        <v>423</v>
      </c>
      <c r="B70" s="613">
        <v>2640</v>
      </c>
      <c r="C70" s="466">
        <v>0</v>
      </c>
      <c r="D70" s="466">
        <v>0</v>
      </c>
      <c r="E70" s="466">
        <v>0</v>
      </c>
      <c r="F70" s="466">
        <v>0</v>
      </c>
      <c r="G70" s="466">
        <v>0</v>
      </c>
      <c r="H70" s="466">
        <v>0</v>
      </c>
      <c r="I70" s="467">
        <v>0</v>
      </c>
      <c r="J70" s="467">
        <v>0</v>
      </c>
      <c r="K70" s="1692">
        <f>SUM(C70:J70)</f>
        <v>0</v>
      </c>
      <c r="L70" s="466">
        <v>0</v>
      </c>
      <c r="M70" s="608"/>
      <c r="N70" s="608"/>
    </row>
    <row r="71" spans="1:14" s="343" customFormat="1" x14ac:dyDescent="0.2">
      <c r="A71" s="1524" t="s">
        <v>424</v>
      </c>
      <c r="B71" s="613">
        <v>2660</v>
      </c>
      <c r="C71" s="466">
        <v>0</v>
      </c>
      <c r="D71" s="466">
        <v>0</v>
      </c>
      <c r="E71" s="466">
        <v>0</v>
      </c>
      <c r="F71" s="466">
        <v>0</v>
      </c>
      <c r="G71" s="466">
        <v>0</v>
      </c>
      <c r="H71" s="466">
        <v>0</v>
      </c>
      <c r="I71" s="467">
        <v>0</v>
      </c>
      <c r="J71" s="467">
        <v>0</v>
      </c>
      <c r="K71" s="1692">
        <f>SUM(C71:J71)</f>
        <v>0</v>
      </c>
      <c r="L71" s="466">
        <v>0</v>
      </c>
      <c r="M71" s="608"/>
      <c r="N71" s="608"/>
    </row>
    <row r="72" spans="1:14" s="343" customFormat="1" ht="12.75" customHeight="1" thickBot="1" x14ac:dyDescent="0.25">
      <c r="A72" s="1688" t="s">
        <v>37</v>
      </c>
      <c r="B72" s="1695" t="s">
        <v>36</v>
      </c>
      <c r="C72" s="1690">
        <f>SUM(C67:C71)</f>
        <v>0</v>
      </c>
      <c r="D72" s="1690">
        <f t="shared" ref="D72:K72" si="9">SUM(D67:D71)</f>
        <v>0</v>
      </c>
      <c r="E72" s="1690">
        <f t="shared" si="9"/>
        <v>16101</v>
      </c>
      <c r="F72" s="1690">
        <f t="shared" si="9"/>
        <v>548</v>
      </c>
      <c r="G72" s="1690">
        <f t="shared" si="9"/>
        <v>0</v>
      </c>
      <c r="H72" s="1690">
        <f t="shared" si="9"/>
        <v>0</v>
      </c>
      <c r="I72" s="1690">
        <f t="shared" si="9"/>
        <v>0</v>
      </c>
      <c r="J72" s="1690">
        <f t="shared" si="9"/>
        <v>0</v>
      </c>
      <c r="K72" s="1690">
        <f t="shared" si="9"/>
        <v>16649</v>
      </c>
      <c r="L72" s="1690">
        <f>SUM(L67:L71)</f>
        <v>15600</v>
      </c>
      <c r="M72" s="608"/>
      <c r="N72" s="608"/>
    </row>
    <row r="73" spans="1:14" s="343" customFormat="1" ht="14.25" thickTop="1" thickBot="1" x14ac:dyDescent="0.25">
      <c r="A73" s="1530" t="s">
        <v>1037</v>
      </c>
      <c r="B73" s="631" t="s">
        <v>595</v>
      </c>
      <c r="C73" s="571">
        <v>0</v>
      </c>
      <c r="D73" s="571">
        <v>0</v>
      </c>
      <c r="E73" s="571">
        <v>0</v>
      </c>
      <c r="F73" s="571">
        <v>0</v>
      </c>
      <c r="G73" s="571">
        <v>0</v>
      </c>
      <c r="H73" s="571">
        <v>0</v>
      </c>
      <c r="I73" s="529">
        <v>0</v>
      </c>
      <c r="J73" s="529">
        <v>0</v>
      </c>
      <c r="K73" s="1690">
        <f>SUM(C73:J73)</f>
        <v>0</v>
      </c>
      <c r="L73" s="574">
        <v>0</v>
      </c>
      <c r="M73" s="608"/>
      <c r="N73" s="608"/>
    </row>
    <row r="74" spans="1:14" ht="12.75" customHeight="1" thickTop="1" thickBot="1" x14ac:dyDescent="0.25">
      <c r="A74" s="1688" t="s">
        <v>865</v>
      </c>
      <c r="B74" s="1696">
        <v>2000</v>
      </c>
      <c r="C74" s="1697">
        <f>SUM(C42,C47,C53,C57,C65,C72,C73)</f>
        <v>2343238</v>
      </c>
      <c r="D74" s="1697">
        <f t="shared" ref="D74:K74" si="10">SUM(D42,D47,D53,D57,D65,D72,D73)</f>
        <v>568986</v>
      </c>
      <c r="E74" s="1697">
        <f t="shared" si="10"/>
        <v>411462</v>
      </c>
      <c r="F74" s="1697">
        <f t="shared" si="10"/>
        <v>73720</v>
      </c>
      <c r="G74" s="1697">
        <f t="shared" si="10"/>
        <v>0</v>
      </c>
      <c r="H74" s="1697">
        <f t="shared" si="10"/>
        <v>31505</v>
      </c>
      <c r="I74" s="1697">
        <f t="shared" si="10"/>
        <v>7930</v>
      </c>
      <c r="J74" s="1697">
        <f t="shared" si="10"/>
        <v>0</v>
      </c>
      <c r="K74" s="1697">
        <f t="shared" si="10"/>
        <v>3436841</v>
      </c>
      <c r="L74" s="1697">
        <f>SUM(L42,L47,L53,L57,L65,L72,L73)</f>
        <v>3397858</v>
      </c>
    </row>
    <row r="75" spans="1:14" s="259" customFormat="1" ht="15.95" customHeight="1" thickTop="1" thickBot="1" x14ac:dyDescent="0.25">
      <c r="A75" s="1630" t="s">
        <v>49</v>
      </c>
      <c r="B75" s="1631" t="s">
        <v>596</v>
      </c>
      <c r="C75" s="571">
        <v>20315</v>
      </c>
      <c r="D75" s="571">
        <v>2959</v>
      </c>
      <c r="E75" s="571">
        <v>0</v>
      </c>
      <c r="F75" s="571">
        <v>0</v>
      </c>
      <c r="G75" s="571">
        <v>0</v>
      </c>
      <c r="H75" s="571">
        <v>0</v>
      </c>
      <c r="I75" s="529">
        <v>0</v>
      </c>
      <c r="J75" s="529">
        <v>0</v>
      </c>
      <c r="K75" s="1690">
        <f>SUM(C75:J75)</f>
        <v>23274</v>
      </c>
      <c r="L75" s="574">
        <v>0</v>
      </c>
      <c r="M75" s="612"/>
      <c r="N75" s="612"/>
    </row>
    <row r="76" spans="1:14" s="632" customFormat="1" ht="15.95" customHeight="1" thickTop="1" x14ac:dyDescent="0.2">
      <c r="A76" s="1632" t="s">
        <v>383</v>
      </c>
      <c r="B76" s="1629" t="s">
        <v>915</v>
      </c>
      <c r="C76" s="617"/>
      <c r="D76" s="617"/>
      <c r="E76" s="615"/>
      <c r="F76" s="617"/>
      <c r="G76" s="617"/>
      <c r="H76" s="615"/>
      <c r="I76" s="615"/>
      <c r="J76" s="615"/>
      <c r="K76" s="615"/>
      <c r="L76" s="615"/>
      <c r="M76" s="184"/>
      <c r="N76" s="184"/>
    </row>
    <row r="77" spans="1:14" s="259" customFormat="1" ht="15.95" customHeight="1" x14ac:dyDescent="0.2">
      <c r="A77" s="620" t="s">
        <v>635</v>
      </c>
      <c r="B77" s="621"/>
      <c r="C77" s="615"/>
      <c r="D77" s="615"/>
      <c r="E77" s="622"/>
      <c r="F77" s="615"/>
      <c r="G77" s="615"/>
      <c r="H77" s="622"/>
      <c r="I77" s="615"/>
      <c r="J77" s="615"/>
      <c r="K77" s="622"/>
      <c r="L77" s="622"/>
      <c r="M77" s="612"/>
      <c r="N77" s="612"/>
    </row>
    <row r="78" spans="1:14" x14ac:dyDescent="0.2">
      <c r="A78" s="1524" t="s">
        <v>517</v>
      </c>
      <c r="B78" s="613">
        <v>4110</v>
      </c>
      <c r="C78" s="615"/>
      <c r="D78" s="615"/>
      <c r="E78" s="480">
        <v>0</v>
      </c>
      <c r="F78" s="615"/>
      <c r="G78" s="615"/>
      <c r="H78" s="633">
        <v>0</v>
      </c>
      <c r="I78" s="476"/>
      <c r="J78" s="476"/>
      <c r="K78" s="1691">
        <f t="shared" ref="K78:K83" si="11">SUM(C78:J78)</f>
        <v>0</v>
      </c>
      <c r="L78" s="480">
        <v>0</v>
      </c>
    </row>
    <row r="79" spans="1:14" x14ac:dyDescent="0.2">
      <c r="A79" s="1524" t="s">
        <v>322</v>
      </c>
      <c r="B79" s="613">
        <v>4120</v>
      </c>
      <c r="C79" s="615"/>
      <c r="D79" s="615"/>
      <c r="E79" s="466">
        <v>0</v>
      </c>
      <c r="F79" s="615"/>
      <c r="G79" s="615"/>
      <c r="H79" s="466">
        <v>130289</v>
      </c>
      <c r="I79" s="476"/>
      <c r="J79" s="476"/>
      <c r="K79" s="1691">
        <f t="shared" si="11"/>
        <v>130289</v>
      </c>
      <c r="L79" s="466">
        <v>151000</v>
      </c>
    </row>
    <row r="80" spans="1:14" x14ac:dyDescent="0.2">
      <c r="A80" s="1524" t="s">
        <v>323</v>
      </c>
      <c r="B80" s="613">
        <v>4130</v>
      </c>
      <c r="C80" s="615"/>
      <c r="D80" s="615"/>
      <c r="E80" s="466">
        <v>0</v>
      </c>
      <c r="F80" s="615"/>
      <c r="G80" s="615"/>
      <c r="H80" s="466">
        <v>0</v>
      </c>
      <c r="I80" s="476"/>
      <c r="J80" s="476"/>
      <c r="K80" s="1691">
        <f t="shared" si="11"/>
        <v>0</v>
      </c>
      <c r="L80" s="466">
        <v>0</v>
      </c>
    </row>
    <row r="81" spans="1:12" x14ac:dyDescent="0.2">
      <c r="A81" s="1524" t="s">
        <v>721</v>
      </c>
      <c r="B81" s="613">
        <v>4140</v>
      </c>
      <c r="C81" s="615"/>
      <c r="D81" s="615"/>
      <c r="E81" s="466">
        <v>0</v>
      </c>
      <c r="F81" s="615"/>
      <c r="G81" s="615"/>
      <c r="H81" s="466">
        <v>0</v>
      </c>
      <c r="I81" s="476"/>
      <c r="J81" s="476"/>
      <c r="K81" s="1691">
        <f t="shared" si="11"/>
        <v>0</v>
      </c>
      <c r="L81" s="466">
        <v>0</v>
      </c>
    </row>
    <row r="82" spans="1:12" x14ac:dyDescent="0.2">
      <c r="A82" s="1524" t="s">
        <v>88</v>
      </c>
      <c r="B82" s="613">
        <v>4170</v>
      </c>
      <c r="C82" s="615"/>
      <c r="D82" s="615"/>
      <c r="E82" s="466">
        <v>0</v>
      </c>
      <c r="F82" s="615"/>
      <c r="G82" s="615"/>
      <c r="H82" s="466">
        <v>0</v>
      </c>
      <c r="I82" s="476"/>
      <c r="J82" s="476"/>
      <c r="K82" s="1691">
        <f t="shared" si="11"/>
        <v>0</v>
      </c>
      <c r="L82" s="466">
        <v>0</v>
      </c>
    </row>
    <row r="83" spans="1:12" x14ac:dyDescent="0.2">
      <c r="A83" s="1528" t="s">
        <v>722</v>
      </c>
      <c r="B83" s="627">
        <v>4190</v>
      </c>
      <c r="C83" s="615"/>
      <c r="D83" s="615"/>
      <c r="E83" s="466">
        <v>0</v>
      </c>
      <c r="F83" s="615"/>
      <c r="G83" s="615"/>
      <c r="H83" s="466">
        <v>0</v>
      </c>
      <c r="I83" s="476"/>
      <c r="J83" s="476"/>
      <c r="K83" s="1691">
        <f t="shared" si="11"/>
        <v>0</v>
      </c>
      <c r="L83" s="466">
        <v>0</v>
      </c>
    </row>
    <row r="84" spans="1:12" ht="13.5" thickBot="1" x14ac:dyDescent="0.25">
      <c r="A84" s="1688" t="s">
        <v>1565</v>
      </c>
      <c r="B84" s="1698">
        <v>4100</v>
      </c>
      <c r="C84" s="615"/>
      <c r="D84" s="615"/>
      <c r="E84" s="1690">
        <f>SUM(E78:E83)</f>
        <v>0</v>
      </c>
      <c r="F84" s="615"/>
      <c r="G84" s="615"/>
      <c r="H84" s="1690">
        <f>SUM(H78:H83)</f>
        <v>130289</v>
      </c>
      <c r="I84" s="476"/>
      <c r="J84" s="476"/>
      <c r="K84" s="1690">
        <f>SUM(K78:K83)</f>
        <v>130289</v>
      </c>
      <c r="L84" s="1690">
        <f>SUM(L78:L83)</f>
        <v>151000</v>
      </c>
    </row>
    <row r="85" spans="1:12" ht="12.75" customHeight="1" thickTop="1" thickBot="1" x14ac:dyDescent="0.25">
      <c r="A85" s="1531" t="s">
        <v>273</v>
      </c>
      <c r="B85" s="634">
        <v>4210</v>
      </c>
      <c r="C85" s="615"/>
      <c r="D85" s="615"/>
      <c r="E85" s="635"/>
      <c r="F85" s="615"/>
      <c r="G85" s="615"/>
      <c r="H85" s="533">
        <v>0</v>
      </c>
      <c r="I85" s="476"/>
      <c r="J85" s="476"/>
      <c r="K85" s="1697">
        <f>H85</f>
        <v>0</v>
      </c>
      <c r="L85" s="528">
        <v>0</v>
      </c>
    </row>
    <row r="86" spans="1:12" ht="12.75" customHeight="1" thickTop="1" thickBot="1" x14ac:dyDescent="0.25">
      <c r="A86" s="1532" t="s">
        <v>723</v>
      </c>
      <c r="B86" s="636">
        <v>4220</v>
      </c>
      <c r="C86" s="615"/>
      <c r="D86" s="615"/>
      <c r="E86" s="637"/>
      <c r="F86" s="615"/>
      <c r="G86" s="615"/>
      <c r="H86" s="467">
        <v>0</v>
      </c>
      <c r="I86" s="476"/>
      <c r="J86" s="476"/>
      <c r="K86" s="1697">
        <f t="shared" ref="K86:K98" si="12">H86</f>
        <v>0</v>
      </c>
      <c r="L86" s="528">
        <v>0</v>
      </c>
    </row>
    <row r="87" spans="1:12" ht="14.25" thickTop="1" thickBot="1" x14ac:dyDescent="0.25">
      <c r="A87" s="1533" t="s">
        <v>724</v>
      </c>
      <c r="B87" s="638">
        <v>4230</v>
      </c>
      <c r="C87" s="615"/>
      <c r="D87" s="615"/>
      <c r="E87" s="637"/>
      <c r="F87" s="615"/>
      <c r="G87" s="615"/>
      <c r="H87" s="467">
        <v>0</v>
      </c>
      <c r="I87" s="476"/>
      <c r="J87" s="476"/>
      <c r="K87" s="1697">
        <f t="shared" si="12"/>
        <v>0</v>
      </c>
      <c r="L87" s="528">
        <v>0</v>
      </c>
    </row>
    <row r="88" spans="1:12" ht="12.75" customHeight="1" thickTop="1" thickBot="1" x14ac:dyDescent="0.25">
      <c r="A88" s="1533" t="s">
        <v>789</v>
      </c>
      <c r="B88" s="638">
        <v>4240</v>
      </c>
      <c r="C88" s="615"/>
      <c r="D88" s="615"/>
      <c r="E88" s="637"/>
      <c r="F88" s="615"/>
      <c r="G88" s="615"/>
      <c r="H88" s="467">
        <v>0</v>
      </c>
      <c r="I88" s="476"/>
      <c r="J88" s="476"/>
      <c r="K88" s="1697">
        <f t="shared" si="12"/>
        <v>0</v>
      </c>
      <c r="L88" s="528">
        <v>0</v>
      </c>
    </row>
    <row r="89" spans="1:12" ht="12.75" customHeight="1" thickTop="1" thickBot="1" x14ac:dyDescent="0.25">
      <c r="A89" s="1533" t="s">
        <v>725</v>
      </c>
      <c r="B89" s="638">
        <v>4270</v>
      </c>
      <c r="C89" s="615"/>
      <c r="D89" s="615"/>
      <c r="E89" s="637"/>
      <c r="F89" s="615"/>
      <c r="G89" s="615"/>
      <c r="H89" s="467">
        <v>0</v>
      </c>
      <c r="I89" s="476"/>
      <c r="J89" s="476"/>
      <c r="K89" s="1697">
        <f t="shared" si="12"/>
        <v>0</v>
      </c>
      <c r="L89" s="528">
        <v>0</v>
      </c>
    </row>
    <row r="90" spans="1:12" ht="12.75" customHeight="1" thickTop="1" thickBot="1" x14ac:dyDescent="0.25">
      <c r="A90" s="1533" t="s">
        <v>710</v>
      </c>
      <c r="B90" s="638">
        <v>4280</v>
      </c>
      <c r="C90" s="615"/>
      <c r="D90" s="615"/>
      <c r="E90" s="637"/>
      <c r="F90" s="615"/>
      <c r="G90" s="615"/>
      <c r="H90" s="467">
        <v>0</v>
      </c>
      <c r="I90" s="476"/>
      <c r="J90" s="476"/>
      <c r="K90" s="1697">
        <f t="shared" si="12"/>
        <v>0</v>
      </c>
      <c r="L90" s="528">
        <v>0</v>
      </c>
    </row>
    <row r="91" spans="1:12" ht="12.75" customHeight="1" thickTop="1" thickBot="1" x14ac:dyDescent="0.25">
      <c r="A91" s="1533" t="s">
        <v>711</v>
      </c>
      <c r="B91" s="638">
        <v>4290</v>
      </c>
      <c r="C91" s="615"/>
      <c r="D91" s="615"/>
      <c r="E91" s="637"/>
      <c r="F91" s="615"/>
      <c r="G91" s="615"/>
      <c r="H91" s="467">
        <v>0</v>
      </c>
      <c r="I91" s="476"/>
      <c r="J91" s="476"/>
      <c r="K91" s="1697">
        <f t="shared" si="12"/>
        <v>0</v>
      </c>
      <c r="L91" s="528">
        <v>0</v>
      </c>
    </row>
    <row r="92" spans="1:12" ht="14.25" thickTop="1" thickBot="1" x14ac:dyDescent="0.25">
      <c r="A92" s="1700" t="s">
        <v>1641</v>
      </c>
      <c r="B92" s="1698">
        <v>4200</v>
      </c>
      <c r="C92" s="615"/>
      <c r="D92" s="615"/>
      <c r="E92" s="637"/>
      <c r="F92" s="615"/>
      <c r="G92" s="615"/>
      <c r="H92" s="1690">
        <f>SUM(H85:H91)</f>
        <v>0</v>
      </c>
      <c r="I92" s="476"/>
      <c r="J92" s="476"/>
      <c r="K92" s="1697">
        <f t="shared" si="12"/>
        <v>0</v>
      </c>
      <c r="L92" s="1690">
        <f>SUM(L85:L91)</f>
        <v>0</v>
      </c>
    </row>
    <row r="93" spans="1:12" ht="14.25" thickTop="1" thickBot="1" x14ac:dyDescent="0.25">
      <c r="A93" s="1532" t="s">
        <v>712</v>
      </c>
      <c r="B93" s="639">
        <v>4310</v>
      </c>
      <c r="C93" s="615"/>
      <c r="D93" s="615"/>
      <c r="E93" s="637"/>
      <c r="F93" s="615"/>
      <c r="G93" s="615"/>
      <c r="H93" s="640">
        <v>0</v>
      </c>
      <c r="I93" s="476"/>
      <c r="J93" s="476"/>
      <c r="K93" s="1697">
        <f t="shared" si="12"/>
        <v>0</v>
      </c>
      <c r="L93" s="530">
        <v>0</v>
      </c>
    </row>
    <row r="94" spans="1:12" ht="12.75" customHeight="1" thickTop="1" thickBot="1" x14ac:dyDescent="0.25">
      <c r="A94" s="1533" t="s">
        <v>713</v>
      </c>
      <c r="B94" s="638">
        <v>4320</v>
      </c>
      <c r="C94" s="615"/>
      <c r="D94" s="615"/>
      <c r="E94" s="637"/>
      <c r="F94" s="615"/>
      <c r="G94" s="615"/>
      <c r="H94" s="467">
        <v>0</v>
      </c>
      <c r="I94" s="476"/>
      <c r="J94" s="476"/>
      <c r="K94" s="1697">
        <f t="shared" si="12"/>
        <v>0</v>
      </c>
      <c r="L94" s="528">
        <v>0</v>
      </c>
    </row>
    <row r="95" spans="1:12" ht="15" customHeight="1" thickTop="1" thickBot="1" x14ac:dyDescent="0.25">
      <c r="A95" s="1533" t="s">
        <v>1568</v>
      </c>
      <c r="B95" s="638">
        <v>4330</v>
      </c>
      <c r="C95" s="615"/>
      <c r="D95" s="615"/>
      <c r="E95" s="637"/>
      <c r="F95" s="615"/>
      <c r="G95" s="615"/>
      <c r="H95" s="467">
        <v>0</v>
      </c>
      <c r="I95" s="476"/>
      <c r="J95" s="476"/>
      <c r="K95" s="1697">
        <f t="shared" si="12"/>
        <v>0</v>
      </c>
      <c r="L95" s="528">
        <v>0</v>
      </c>
    </row>
    <row r="96" spans="1:12" ht="14.25" thickTop="1" thickBot="1" x14ac:dyDescent="0.25">
      <c r="A96" s="1533" t="s">
        <v>714</v>
      </c>
      <c r="B96" s="638">
        <v>4340</v>
      </c>
      <c r="C96" s="615"/>
      <c r="D96" s="615"/>
      <c r="E96" s="637"/>
      <c r="F96" s="615"/>
      <c r="G96" s="615"/>
      <c r="H96" s="467">
        <v>0</v>
      </c>
      <c r="I96" s="476"/>
      <c r="J96" s="476"/>
      <c r="K96" s="1697">
        <f t="shared" si="12"/>
        <v>0</v>
      </c>
      <c r="L96" s="528">
        <v>0</v>
      </c>
    </row>
    <row r="97" spans="1:14" ht="12.75" customHeight="1" thickTop="1" thickBot="1" x14ac:dyDescent="0.25">
      <c r="A97" s="1533" t="s">
        <v>787</v>
      </c>
      <c r="B97" s="638">
        <v>4370</v>
      </c>
      <c r="C97" s="615"/>
      <c r="D97" s="615"/>
      <c r="E97" s="637"/>
      <c r="F97" s="615"/>
      <c r="G97" s="615"/>
      <c r="H97" s="467">
        <v>0</v>
      </c>
      <c r="I97" s="476"/>
      <c r="J97" s="476"/>
      <c r="K97" s="1697">
        <f t="shared" si="12"/>
        <v>0</v>
      </c>
      <c r="L97" s="528">
        <v>0</v>
      </c>
    </row>
    <row r="98" spans="1:14" ht="14.25" thickTop="1" thickBot="1" x14ac:dyDescent="0.25">
      <c r="A98" s="1533" t="s">
        <v>788</v>
      </c>
      <c r="B98" s="638">
        <v>4380</v>
      </c>
      <c r="C98" s="615"/>
      <c r="D98" s="615"/>
      <c r="E98" s="641"/>
      <c r="F98" s="615"/>
      <c r="G98" s="615"/>
      <c r="H98" s="467">
        <v>0</v>
      </c>
      <c r="I98" s="476"/>
      <c r="J98" s="476"/>
      <c r="K98" s="1697">
        <f t="shared" si="12"/>
        <v>0</v>
      </c>
      <c r="L98" s="528">
        <v>0</v>
      </c>
    </row>
    <row r="99" spans="1:14" ht="14.25" thickTop="1" thickBot="1" x14ac:dyDescent="0.25">
      <c r="A99" s="1533" t="s">
        <v>385</v>
      </c>
      <c r="B99" s="638">
        <v>4390</v>
      </c>
      <c r="C99" s="615"/>
      <c r="D99" s="615"/>
      <c r="E99" s="530">
        <v>0</v>
      </c>
      <c r="F99" s="615"/>
      <c r="G99" s="615"/>
      <c r="H99" s="467">
        <v>0</v>
      </c>
      <c r="I99" s="476"/>
      <c r="J99" s="476"/>
      <c r="K99" s="1697">
        <f>SUM(E99,H99)</f>
        <v>0</v>
      </c>
      <c r="L99" s="528">
        <v>0</v>
      </c>
    </row>
    <row r="100" spans="1:14" ht="14.25" thickTop="1" thickBot="1" x14ac:dyDescent="0.25">
      <c r="A100" s="1700" t="s">
        <v>1566</v>
      </c>
      <c r="B100" s="1701">
        <v>4300</v>
      </c>
      <c r="C100" s="615"/>
      <c r="D100" s="615"/>
      <c r="E100" s="1697">
        <f>SUM(E93:E99)</f>
        <v>0</v>
      </c>
      <c r="F100" s="615"/>
      <c r="G100" s="615"/>
      <c r="H100" s="1697">
        <f>SUM(H93:H99)</f>
        <v>0</v>
      </c>
      <c r="I100" s="476"/>
      <c r="J100" s="476"/>
      <c r="K100" s="1697">
        <f>SUM(K93:K99)</f>
        <v>0</v>
      </c>
      <c r="L100" s="1697">
        <f>SUM(L93:L99)</f>
        <v>0</v>
      </c>
    </row>
    <row r="101" spans="1:14" ht="12.75" customHeight="1" thickTop="1" thickBot="1" x14ac:dyDescent="0.25">
      <c r="A101" s="1530" t="s">
        <v>1569</v>
      </c>
      <c r="B101" s="642" t="s">
        <v>988</v>
      </c>
      <c r="C101" s="615"/>
      <c r="D101" s="615"/>
      <c r="E101" s="529">
        <v>0</v>
      </c>
      <c r="F101" s="615"/>
      <c r="G101" s="615"/>
      <c r="H101" s="529">
        <v>0</v>
      </c>
      <c r="I101" s="476"/>
      <c r="J101" s="476"/>
      <c r="K101" s="1699">
        <f>SUM(C101:J101)</f>
        <v>0</v>
      </c>
      <c r="L101" s="528">
        <v>0</v>
      </c>
    </row>
    <row r="102" spans="1:14" ht="12.75" customHeight="1" thickTop="1" thickBot="1" x14ac:dyDescent="0.25">
      <c r="A102" s="1688" t="s">
        <v>1567</v>
      </c>
      <c r="B102" s="1698">
        <v>4000</v>
      </c>
      <c r="C102" s="615"/>
      <c r="D102" s="615"/>
      <c r="E102" s="1697">
        <f>SUM(E84,E92,E100,E101)</f>
        <v>0</v>
      </c>
      <c r="F102" s="615"/>
      <c r="G102" s="615"/>
      <c r="H102" s="1697">
        <f>SUM(H84,H92,H100,H101)</f>
        <v>130289</v>
      </c>
      <c r="I102" s="476"/>
      <c r="J102" s="476"/>
      <c r="K102" s="1697">
        <f>SUM(K84,K92,K100,K101)</f>
        <v>130289</v>
      </c>
      <c r="L102" s="1697">
        <f>SUM(L84,L92,L100,L101)</f>
        <v>151000</v>
      </c>
    </row>
    <row r="103" spans="1:14" s="632" customFormat="1" ht="15.95" customHeight="1" thickTop="1" x14ac:dyDescent="0.2">
      <c r="A103" s="1632" t="s">
        <v>534</v>
      </c>
      <c r="B103" s="1629" t="s">
        <v>513</v>
      </c>
      <c r="C103" s="615"/>
      <c r="D103" s="615"/>
      <c r="E103" s="615"/>
      <c r="F103" s="615"/>
      <c r="G103" s="615"/>
      <c r="H103" s="617"/>
      <c r="I103" s="468"/>
      <c r="J103" s="468"/>
      <c r="K103" s="617"/>
      <c r="L103" s="617"/>
      <c r="M103" s="184"/>
      <c r="N103" s="184"/>
    </row>
    <row r="104" spans="1:14" s="645" customFormat="1" ht="15.9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4" t="s">
        <v>89</v>
      </c>
      <c r="B105" s="613">
        <v>5110</v>
      </c>
      <c r="C105" s="615"/>
      <c r="D105" s="615"/>
      <c r="E105" s="615"/>
      <c r="F105" s="615"/>
      <c r="G105" s="615"/>
      <c r="H105" s="480">
        <v>0</v>
      </c>
      <c r="I105" s="468"/>
      <c r="J105" s="468"/>
      <c r="K105" s="1691">
        <f>H105</f>
        <v>0</v>
      </c>
      <c r="L105" s="480">
        <v>0</v>
      </c>
      <c r="M105" s="210"/>
      <c r="N105" s="210"/>
    </row>
    <row r="106" spans="1:14" s="596" customFormat="1" x14ac:dyDescent="0.2">
      <c r="A106" s="1524" t="s">
        <v>90</v>
      </c>
      <c r="B106" s="613">
        <v>5120</v>
      </c>
      <c r="C106" s="615"/>
      <c r="D106" s="615"/>
      <c r="E106" s="615"/>
      <c r="F106" s="615"/>
      <c r="G106" s="615"/>
      <c r="H106" s="466">
        <v>0</v>
      </c>
      <c r="I106" s="468"/>
      <c r="J106" s="468"/>
      <c r="K106" s="1691">
        <f>H106</f>
        <v>0</v>
      </c>
      <c r="L106" s="466">
        <v>0</v>
      </c>
      <c r="M106" s="210"/>
      <c r="N106" s="210"/>
    </row>
    <row r="107" spans="1:14" s="596" customFormat="1" ht="12.75" customHeight="1" x14ac:dyDescent="0.2">
      <c r="A107" s="1524" t="s">
        <v>1232</v>
      </c>
      <c r="B107" s="613">
        <v>5130</v>
      </c>
      <c r="C107" s="615"/>
      <c r="D107" s="615"/>
      <c r="E107" s="615"/>
      <c r="F107" s="615"/>
      <c r="G107" s="615"/>
      <c r="H107" s="466">
        <v>0</v>
      </c>
      <c r="I107" s="468"/>
      <c r="J107" s="468"/>
      <c r="K107" s="1691">
        <f>H107</f>
        <v>0</v>
      </c>
      <c r="L107" s="466">
        <v>0</v>
      </c>
      <c r="M107" s="210"/>
      <c r="N107" s="210"/>
    </row>
    <row r="108" spans="1:14" s="596" customFormat="1" x14ac:dyDescent="0.2">
      <c r="A108" s="1524" t="s">
        <v>91</v>
      </c>
      <c r="B108" s="613" t="s">
        <v>610</v>
      </c>
      <c r="C108" s="615"/>
      <c r="D108" s="615"/>
      <c r="E108" s="615"/>
      <c r="F108" s="615"/>
      <c r="G108" s="615"/>
      <c r="H108" s="466">
        <v>0</v>
      </c>
      <c r="I108" s="468"/>
      <c r="J108" s="468"/>
      <c r="K108" s="1691">
        <f>H108</f>
        <v>0</v>
      </c>
      <c r="L108" s="466">
        <v>0</v>
      </c>
      <c r="M108" s="210"/>
      <c r="N108" s="210"/>
    </row>
    <row r="109" spans="1:14" s="596" customFormat="1" x14ac:dyDescent="0.2">
      <c r="A109" s="1524" t="s">
        <v>272</v>
      </c>
      <c r="B109" s="627">
        <v>5150</v>
      </c>
      <c r="C109" s="615"/>
      <c r="D109" s="615"/>
      <c r="E109" s="615"/>
      <c r="F109" s="615"/>
      <c r="G109" s="615"/>
      <c r="H109" s="466">
        <v>0</v>
      </c>
      <c r="I109" s="468"/>
      <c r="J109" s="468"/>
      <c r="K109" s="1691">
        <f>H109</f>
        <v>0</v>
      </c>
      <c r="L109" s="466">
        <v>0</v>
      </c>
      <c r="M109" s="210"/>
      <c r="N109" s="210"/>
    </row>
    <row r="110" spans="1:14" s="596" customFormat="1" ht="12.75" customHeight="1" thickBot="1" x14ac:dyDescent="0.25">
      <c r="A110" s="1688" t="s">
        <v>1164</v>
      </c>
      <c r="B110" s="1695" t="s">
        <v>742</v>
      </c>
      <c r="C110" s="615"/>
      <c r="D110" s="615"/>
      <c r="E110" s="615"/>
      <c r="F110" s="615"/>
      <c r="G110" s="615"/>
      <c r="H110" s="1690">
        <f>SUM(H105:H109)</f>
        <v>0</v>
      </c>
      <c r="I110" s="468"/>
      <c r="J110" s="468"/>
      <c r="K110" s="1690">
        <f>SUM(K105:K109)</f>
        <v>0</v>
      </c>
      <c r="L110" s="1690">
        <f>SUM(L105:L109)</f>
        <v>0</v>
      </c>
      <c r="M110" s="210"/>
      <c r="N110" s="210"/>
    </row>
    <row r="111" spans="1:14" s="596" customFormat="1" ht="12.75" customHeight="1" thickTop="1" thickBot="1" x14ac:dyDescent="0.25">
      <c r="A111" s="1534" t="s">
        <v>386</v>
      </c>
      <c r="B111" s="646" t="s">
        <v>38</v>
      </c>
      <c r="C111" s="615"/>
      <c r="D111" s="615"/>
      <c r="E111" s="615"/>
      <c r="F111" s="615"/>
      <c r="G111" s="615"/>
      <c r="H111" s="533">
        <v>0</v>
      </c>
      <c r="I111" s="468"/>
      <c r="J111" s="468"/>
      <c r="K111" s="1703">
        <f>H111</f>
        <v>0</v>
      </c>
      <c r="L111" s="530">
        <v>0</v>
      </c>
      <c r="M111" s="210"/>
      <c r="N111" s="210"/>
    </row>
    <row r="112" spans="1:14" s="596" customFormat="1" ht="12.75" customHeight="1" thickTop="1" thickBot="1" x14ac:dyDescent="0.25">
      <c r="A112" s="1688" t="s">
        <v>659</v>
      </c>
      <c r="B112" s="1689" t="s">
        <v>513</v>
      </c>
      <c r="C112" s="615"/>
      <c r="D112" s="615"/>
      <c r="E112" s="615"/>
      <c r="F112" s="615"/>
      <c r="G112" s="615"/>
      <c r="H112" s="1690">
        <f>SUM(H110:H111)</f>
        <v>0</v>
      </c>
      <c r="I112" s="468"/>
      <c r="J112" s="468"/>
      <c r="K112" s="1690">
        <f>SUM(K110:K111)</f>
        <v>0</v>
      </c>
      <c r="L112" s="1697">
        <f>SUM(L110,L111)</f>
        <v>0</v>
      </c>
      <c r="M112" s="210"/>
      <c r="N112" s="210"/>
    </row>
    <row r="113" spans="1:14" s="259" customFormat="1" ht="15.95" customHeight="1" thickTop="1" thickBot="1" x14ac:dyDescent="0.25">
      <c r="A113" s="1626" t="s">
        <v>535</v>
      </c>
      <c r="B113" s="1633" t="s">
        <v>916</v>
      </c>
      <c r="C113" s="622"/>
      <c r="D113" s="622"/>
      <c r="E113" s="615"/>
      <c r="F113" s="615"/>
      <c r="G113" s="615"/>
      <c r="H113" s="622"/>
      <c r="I113" s="468"/>
      <c r="J113" s="468"/>
      <c r="K113" s="622"/>
      <c r="L113" s="529">
        <v>0</v>
      </c>
      <c r="M113" s="612"/>
      <c r="N113" s="612"/>
    </row>
    <row r="114" spans="1:14" ht="12.75" customHeight="1" thickTop="1" thickBot="1" x14ac:dyDescent="0.25">
      <c r="A114" s="1688" t="s">
        <v>50</v>
      </c>
      <c r="B114" s="1702"/>
      <c r="C114" s="1690">
        <f>SUM(C33,C74,C75,C102,C112,C113)</f>
        <v>5743439</v>
      </c>
      <c r="D114" s="1690">
        <f t="shared" ref="D114:K114" si="13">SUM(D33,D74,D75,D102,D112,D113)</f>
        <v>1320396</v>
      </c>
      <c r="E114" s="1690">
        <f t="shared" si="13"/>
        <v>519523</v>
      </c>
      <c r="F114" s="1690">
        <f t="shared" si="13"/>
        <v>135351</v>
      </c>
      <c r="G114" s="1690">
        <f t="shared" si="13"/>
        <v>0</v>
      </c>
      <c r="H114" s="1690">
        <f>SUM(H33,H74,H75,H102,H112,H113)</f>
        <v>163324</v>
      </c>
      <c r="I114" s="1690">
        <f t="shared" si="13"/>
        <v>46133</v>
      </c>
      <c r="J114" s="1690">
        <f t="shared" si="13"/>
        <v>0</v>
      </c>
      <c r="K114" s="1690">
        <f t="shared" si="13"/>
        <v>7928166</v>
      </c>
      <c r="L114" s="1690">
        <f>SUM(L33,L74,L75,L102,L112,L113)</f>
        <v>7713586</v>
      </c>
    </row>
    <row r="115" spans="1:14" ht="13.5" thickTop="1" x14ac:dyDescent="0.2">
      <c r="A115" s="2299" t="s">
        <v>1053</v>
      </c>
      <c r="B115" s="2300"/>
      <c r="C115" s="617"/>
      <c r="D115" s="617"/>
      <c r="E115" s="617"/>
      <c r="F115" s="617"/>
      <c r="G115" s="617"/>
      <c r="H115" s="617"/>
      <c r="I115" s="617"/>
      <c r="J115" s="617"/>
      <c r="K115" s="1704">
        <f>'Revenues 9-14'!C275-'Expenditures 15-22'!K114</f>
        <v>228789</v>
      </c>
      <c r="L115" s="617"/>
    </row>
    <row r="116" spans="1:14" s="180" customFormat="1" ht="9.1999999999999993"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304" t="s">
        <v>314</v>
      </c>
      <c r="B117" s="2305"/>
      <c r="C117" s="1646"/>
      <c r="D117" s="1647"/>
      <c r="E117" s="1647"/>
      <c r="F117" s="1647"/>
      <c r="G117" s="1647"/>
      <c r="H117" s="1647"/>
      <c r="I117" s="1647"/>
      <c r="J117" s="1647"/>
      <c r="K117" s="1647"/>
      <c r="L117" s="1648"/>
      <c r="M117" s="175"/>
      <c r="N117" s="175"/>
    </row>
    <row r="118" spans="1:14" ht="15.95" customHeight="1" x14ac:dyDescent="0.2">
      <c r="A118" s="1634" t="s">
        <v>1095</v>
      </c>
      <c r="B118" s="1635" t="s">
        <v>590</v>
      </c>
      <c r="C118" s="615"/>
      <c r="D118" s="615"/>
      <c r="E118" s="615"/>
      <c r="F118" s="615"/>
      <c r="G118" s="615"/>
      <c r="H118" s="615"/>
      <c r="I118" s="615"/>
      <c r="J118" s="615"/>
      <c r="K118" s="615"/>
      <c r="L118" s="615"/>
    </row>
    <row r="119" spans="1:14" ht="15.95" customHeight="1" x14ac:dyDescent="0.2">
      <c r="A119" s="651" t="s">
        <v>612</v>
      </c>
      <c r="B119" s="621"/>
      <c r="C119" s="622"/>
      <c r="D119" s="622"/>
      <c r="E119" s="622"/>
      <c r="F119" s="615"/>
      <c r="G119" s="615"/>
      <c r="H119" s="622"/>
      <c r="I119" s="615"/>
      <c r="J119" s="615"/>
      <c r="K119" s="622"/>
      <c r="L119" s="622"/>
    </row>
    <row r="120" spans="1:14" ht="12.75" customHeight="1" x14ac:dyDescent="0.2">
      <c r="A120" s="1528" t="s">
        <v>167</v>
      </c>
      <c r="B120" s="627">
        <v>2190</v>
      </c>
      <c r="C120" s="466">
        <v>0</v>
      </c>
      <c r="D120" s="466">
        <v>0</v>
      </c>
      <c r="E120" s="466">
        <v>0</v>
      </c>
      <c r="F120" s="466">
        <v>0</v>
      </c>
      <c r="G120" s="466">
        <v>0</v>
      </c>
      <c r="H120" s="466">
        <v>0</v>
      </c>
      <c r="I120" s="467">
        <v>0</v>
      </c>
      <c r="J120" s="467">
        <v>0</v>
      </c>
      <c r="K120" s="1691">
        <f>SUM(C120:J120)</f>
        <v>0</v>
      </c>
      <c r="L120" s="466">
        <v>0</v>
      </c>
    </row>
    <row r="121" spans="1:14" ht="15.95" customHeight="1" x14ac:dyDescent="0.2">
      <c r="A121" s="652" t="s">
        <v>633</v>
      </c>
      <c r="B121" s="621"/>
      <c r="C121" s="519"/>
      <c r="D121" s="519"/>
      <c r="E121" s="519"/>
      <c r="F121" s="519"/>
      <c r="G121" s="519"/>
      <c r="H121" s="519"/>
      <c r="I121" s="615"/>
      <c r="J121" s="615"/>
      <c r="K121" s="622"/>
      <c r="L121" s="519"/>
    </row>
    <row r="122" spans="1:14" ht="13.5" thickBot="1" x14ac:dyDescent="0.25">
      <c r="A122" s="1524" t="s">
        <v>1128</v>
      </c>
      <c r="B122" s="613">
        <v>2510</v>
      </c>
      <c r="C122" s="466">
        <v>0</v>
      </c>
      <c r="D122" s="466">
        <v>0</v>
      </c>
      <c r="E122" s="466">
        <v>0</v>
      </c>
      <c r="F122" s="466">
        <v>0</v>
      </c>
      <c r="G122" s="466">
        <v>0</v>
      </c>
      <c r="H122" s="466">
        <v>0</v>
      </c>
      <c r="I122" s="467">
        <v>0</v>
      </c>
      <c r="J122" s="467">
        <v>0</v>
      </c>
      <c r="K122" s="1690">
        <f>SUM(C122:J122)</f>
        <v>0</v>
      </c>
      <c r="L122" s="466">
        <v>0</v>
      </c>
    </row>
    <row r="123" spans="1:14" ht="14.25" thickTop="1" thickBot="1" x14ac:dyDescent="0.25">
      <c r="A123" s="1524" t="s">
        <v>4</v>
      </c>
      <c r="B123" s="613">
        <v>2530</v>
      </c>
      <c r="C123" s="466">
        <v>0</v>
      </c>
      <c r="D123" s="466">
        <v>0</v>
      </c>
      <c r="E123" s="466">
        <v>0</v>
      </c>
      <c r="F123" s="466">
        <v>0</v>
      </c>
      <c r="G123" s="466">
        <v>0</v>
      </c>
      <c r="H123" s="466">
        <v>0</v>
      </c>
      <c r="I123" s="467">
        <v>0</v>
      </c>
      <c r="J123" s="467">
        <v>0</v>
      </c>
      <c r="K123" s="1690">
        <f>SUM(C123:J123)</f>
        <v>0</v>
      </c>
      <c r="L123" s="466">
        <v>0</v>
      </c>
    </row>
    <row r="124" spans="1:14" ht="14.25" thickTop="1" thickBot="1" x14ac:dyDescent="0.25">
      <c r="A124" s="1524" t="s">
        <v>206</v>
      </c>
      <c r="B124" s="613">
        <v>2540</v>
      </c>
      <c r="C124" s="466">
        <v>0</v>
      </c>
      <c r="D124" s="466">
        <v>0</v>
      </c>
      <c r="E124" s="466">
        <v>0</v>
      </c>
      <c r="F124" s="466">
        <v>0</v>
      </c>
      <c r="G124" s="466">
        <v>0</v>
      </c>
      <c r="H124" s="466">
        <v>0</v>
      </c>
      <c r="I124" s="467">
        <v>0</v>
      </c>
      <c r="J124" s="467">
        <v>0</v>
      </c>
      <c r="K124" s="1690">
        <f>SUM(C124:J124)</f>
        <v>0</v>
      </c>
      <c r="L124" s="466">
        <v>0</v>
      </c>
    </row>
    <row r="125" spans="1:14" ht="14.25" thickTop="1" thickBot="1" x14ac:dyDescent="0.25">
      <c r="A125" s="1524" t="s">
        <v>1010</v>
      </c>
      <c r="B125" s="613">
        <v>2550</v>
      </c>
      <c r="C125" s="466">
        <v>0</v>
      </c>
      <c r="D125" s="466">
        <v>0</v>
      </c>
      <c r="E125" s="466">
        <v>0</v>
      </c>
      <c r="F125" s="466">
        <v>0</v>
      </c>
      <c r="G125" s="466">
        <v>0</v>
      </c>
      <c r="H125" s="466">
        <v>0</v>
      </c>
      <c r="I125" s="467">
        <v>0</v>
      </c>
      <c r="J125" s="467">
        <v>0</v>
      </c>
      <c r="K125" s="1690">
        <f>SUM(C125:J125)</f>
        <v>0</v>
      </c>
      <c r="L125" s="466">
        <v>0</v>
      </c>
    </row>
    <row r="126" spans="1:14" ht="14.25" thickTop="1" thickBot="1" x14ac:dyDescent="0.25">
      <c r="A126" s="1524" t="s">
        <v>102</v>
      </c>
      <c r="B126" s="613">
        <v>2560</v>
      </c>
      <c r="C126" s="653"/>
      <c r="D126" s="653"/>
      <c r="E126" s="653"/>
      <c r="F126" s="653"/>
      <c r="G126" s="466">
        <v>0</v>
      </c>
      <c r="H126" s="653"/>
      <c r="I126" s="474">
        <v>0</v>
      </c>
      <c r="J126" s="615"/>
      <c r="K126" s="1690">
        <f>SUM(C126:J126)</f>
        <v>0</v>
      </c>
      <c r="L126" s="466">
        <v>0</v>
      </c>
    </row>
    <row r="127" spans="1:14" ht="12.75" customHeight="1" thickTop="1" thickBot="1" x14ac:dyDescent="0.25">
      <c r="A127" s="1688" t="s">
        <v>743</v>
      </c>
      <c r="B127" s="1689" t="s">
        <v>35</v>
      </c>
      <c r="C127" s="1690">
        <f>SUM(C122:C126)</f>
        <v>0</v>
      </c>
      <c r="D127" s="1690">
        <f t="shared" ref="D127:L127" si="14">SUM(D122:D126)</f>
        <v>0</v>
      </c>
      <c r="E127" s="1690">
        <f t="shared" si="14"/>
        <v>0</v>
      </c>
      <c r="F127" s="1690">
        <f t="shared" si="14"/>
        <v>0</v>
      </c>
      <c r="G127" s="1690">
        <f t="shared" si="14"/>
        <v>0</v>
      </c>
      <c r="H127" s="1690">
        <f t="shared" si="14"/>
        <v>0</v>
      </c>
      <c r="I127" s="1690">
        <f t="shared" si="14"/>
        <v>0</v>
      </c>
      <c r="J127" s="1690">
        <f t="shared" si="14"/>
        <v>0</v>
      </c>
      <c r="K127" s="1690">
        <f t="shared" si="14"/>
        <v>0</v>
      </c>
      <c r="L127" s="1690">
        <f t="shared" si="14"/>
        <v>0</v>
      </c>
    </row>
    <row r="128" spans="1:14" ht="12.75" customHeight="1" thickTop="1" x14ac:dyDescent="0.2">
      <c r="A128" s="1531" t="s">
        <v>1037</v>
      </c>
      <c r="B128" s="654" t="s">
        <v>595</v>
      </c>
      <c r="C128" s="655">
        <v>0</v>
      </c>
      <c r="D128" s="655">
        <v>0</v>
      </c>
      <c r="E128" s="655">
        <v>0</v>
      </c>
      <c r="F128" s="655">
        <v>0</v>
      </c>
      <c r="G128" s="655">
        <v>0</v>
      </c>
      <c r="H128" s="655">
        <v>0</v>
      </c>
      <c r="I128" s="533">
        <v>0</v>
      </c>
      <c r="J128" s="533">
        <v>0</v>
      </c>
      <c r="K128" s="1705">
        <f>SUM(C128:J128)</f>
        <v>0</v>
      </c>
      <c r="L128" s="655">
        <v>0</v>
      </c>
    </row>
    <row r="129" spans="1:14" ht="12.75" customHeight="1" thickBot="1" x14ac:dyDescent="0.25">
      <c r="A129" s="1706" t="s">
        <v>865</v>
      </c>
      <c r="B129" s="1707" t="s">
        <v>590</v>
      </c>
      <c r="C129" s="1697">
        <f>SUM(C120,C127,C128)</f>
        <v>0</v>
      </c>
      <c r="D129" s="1697">
        <f t="shared" ref="D129:L129" si="15">SUM(D120,D127,D128)</f>
        <v>0</v>
      </c>
      <c r="E129" s="1697">
        <f t="shared" si="15"/>
        <v>0</v>
      </c>
      <c r="F129" s="1697">
        <f t="shared" si="15"/>
        <v>0</v>
      </c>
      <c r="G129" s="1697">
        <f t="shared" si="15"/>
        <v>0</v>
      </c>
      <c r="H129" s="1697">
        <f t="shared" si="15"/>
        <v>0</v>
      </c>
      <c r="I129" s="1697">
        <f t="shared" si="15"/>
        <v>0</v>
      </c>
      <c r="J129" s="1697">
        <f t="shared" si="15"/>
        <v>0</v>
      </c>
      <c r="K129" s="1697">
        <f t="shared" si="15"/>
        <v>0</v>
      </c>
      <c r="L129" s="1697">
        <f t="shared" si="15"/>
        <v>0</v>
      </c>
    </row>
    <row r="130" spans="1:14" ht="15.95" customHeight="1" thickTop="1" thickBot="1" x14ac:dyDescent="0.25">
      <c r="A130" s="1630" t="s">
        <v>1096</v>
      </c>
      <c r="B130" s="1631" t="s">
        <v>596</v>
      </c>
      <c r="C130" s="574">
        <v>0</v>
      </c>
      <c r="D130" s="574">
        <v>0</v>
      </c>
      <c r="E130" s="574">
        <v>0</v>
      </c>
      <c r="F130" s="574">
        <v>0</v>
      </c>
      <c r="G130" s="574">
        <v>0</v>
      </c>
      <c r="H130" s="574">
        <v>0</v>
      </c>
      <c r="I130" s="529">
        <v>0</v>
      </c>
      <c r="J130" s="529">
        <v>0</v>
      </c>
      <c r="K130" s="1690">
        <f>SUM(C130:J130)</f>
        <v>0</v>
      </c>
      <c r="L130" s="574">
        <v>0</v>
      </c>
    </row>
    <row r="131" spans="1:14" ht="15.95" customHeight="1" thickTop="1" x14ac:dyDescent="0.2">
      <c r="A131" s="1636" t="s">
        <v>637</v>
      </c>
      <c r="B131" s="1629"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10" t="s">
        <v>517</v>
      </c>
      <c r="B133" s="1862" t="s">
        <v>1954</v>
      </c>
      <c r="C133" s="468"/>
      <c r="D133" s="468"/>
      <c r="E133" s="640">
        <v>0</v>
      </c>
      <c r="F133" s="468"/>
      <c r="G133" s="468"/>
      <c r="H133" s="640">
        <v>0</v>
      </c>
      <c r="I133" s="468"/>
      <c r="J133" s="468"/>
      <c r="K133" s="1842">
        <f>SUM(E133,H133)</f>
        <v>0</v>
      </c>
      <c r="L133" s="640">
        <v>0</v>
      </c>
      <c r="M133" s="206"/>
      <c r="N133" s="206"/>
    </row>
    <row r="134" spans="1:14" x14ac:dyDescent="0.2">
      <c r="A134" s="1524" t="s">
        <v>322</v>
      </c>
      <c r="B134" s="613">
        <v>4120</v>
      </c>
      <c r="C134" s="615"/>
      <c r="D134" s="615"/>
      <c r="E134" s="477">
        <v>0</v>
      </c>
      <c r="F134" s="615"/>
      <c r="G134" s="615"/>
      <c r="H134" s="480">
        <v>0</v>
      </c>
      <c r="I134" s="476"/>
      <c r="J134" s="615"/>
      <c r="K134" s="1692">
        <f>SUM(E134,H134)</f>
        <v>0</v>
      </c>
      <c r="L134" s="640">
        <v>0</v>
      </c>
    </row>
    <row r="135" spans="1:14" x14ac:dyDescent="0.2">
      <c r="A135" s="1524" t="s">
        <v>721</v>
      </c>
      <c r="B135" s="613">
        <v>4140</v>
      </c>
      <c r="C135" s="615"/>
      <c r="D135" s="615"/>
      <c r="E135" s="467">
        <v>0</v>
      </c>
      <c r="F135" s="615"/>
      <c r="G135" s="615"/>
      <c r="H135" s="466">
        <v>0</v>
      </c>
      <c r="I135" s="476"/>
      <c r="J135" s="615"/>
      <c r="K135" s="1692">
        <f>SUM(E135,H135)</f>
        <v>0</v>
      </c>
      <c r="L135" s="466">
        <v>0</v>
      </c>
    </row>
    <row r="136" spans="1:14" x14ac:dyDescent="0.2">
      <c r="A136" s="1528" t="s">
        <v>722</v>
      </c>
      <c r="B136" s="627">
        <v>4190</v>
      </c>
      <c r="C136" s="615"/>
      <c r="D136" s="615"/>
      <c r="E136" s="467">
        <v>0</v>
      </c>
      <c r="F136" s="615"/>
      <c r="G136" s="615"/>
      <c r="H136" s="466">
        <v>0</v>
      </c>
      <c r="I136" s="476"/>
      <c r="J136" s="615"/>
      <c r="K136" s="1692">
        <f>SUM(E136,H136)</f>
        <v>0</v>
      </c>
      <c r="L136" s="466">
        <v>0</v>
      </c>
    </row>
    <row r="137" spans="1:14" ht="12.75" customHeight="1" thickBot="1" x14ac:dyDescent="0.25">
      <c r="A137" s="1688" t="s">
        <v>501</v>
      </c>
      <c r="B137" s="1698">
        <v>4100</v>
      </c>
      <c r="C137" s="615"/>
      <c r="D137" s="615"/>
      <c r="E137" s="1690">
        <f>SUM(E133:E136)</f>
        <v>0</v>
      </c>
      <c r="F137" s="615"/>
      <c r="G137" s="615"/>
      <c r="H137" s="1690">
        <f>SUM(H133:H136)</f>
        <v>0</v>
      </c>
      <c r="I137" s="476"/>
      <c r="J137" s="615"/>
      <c r="K137" s="1690">
        <f>SUM(K133:K136)</f>
        <v>0</v>
      </c>
      <c r="L137" s="1690">
        <f>SUM(L133:L136)</f>
        <v>0</v>
      </c>
    </row>
    <row r="138" spans="1:14" ht="12.75" customHeight="1" thickTop="1" thickBot="1" x14ac:dyDescent="0.25">
      <c r="A138" s="1530" t="s">
        <v>98</v>
      </c>
      <c r="B138" s="642" t="s">
        <v>988</v>
      </c>
      <c r="C138" s="615"/>
      <c r="D138" s="615"/>
      <c r="E138" s="478">
        <v>0</v>
      </c>
      <c r="F138" s="615"/>
      <c r="G138" s="615"/>
      <c r="H138" s="574">
        <v>0</v>
      </c>
      <c r="I138" s="476"/>
      <c r="J138" s="615"/>
      <c r="K138" s="1692">
        <f>SUM(E138,H138)</f>
        <v>0</v>
      </c>
      <c r="L138" s="574">
        <v>0</v>
      </c>
    </row>
    <row r="139" spans="1:14" ht="12.75" customHeight="1" thickTop="1" thickBot="1" x14ac:dyDescent="0.25">
      <c r="A139" s="1688" t="s">
        <v>1567</v>
      </c>
      <c r="B139" s="1698">
        <v>4000</v>
      </c>
      <c r="C139" s="615"/>
      <c r="D139" s="615"/>
      <c r="E139" s="1690">
        <f>SUM(E137,E138)</f>
        <v>0</v>
      </c>
      <c r="F139" s="615"/>
      <c r="G139" s="615"/>
      <c r="H139" s="1699">
        <f>SUM(H137:H138)</f>
        <v>0</v>
      </c>
      <c r="I139" s="476"/>
      <c r="J139" s="615"/>
      <c r="K139" s="1692">
        <f>SUM(K137,K138)</f>
        <v>0</v>
      </c>
      <c r="L139" s="1699">
        <f>SUM(L137,L138)</f>
        <v>0</v>
      </c>
    </row>
    <row r="140" spans="1:14" ht="15.95" customHeight="1" thickTop="1" x14ac:dyDescent="0.2">
      <c r="A140" s="1632" t="s">
        <v>1097</v>
      </c>
      <c r="B140" s="1633" t="s">
        <v>513</v>
      </c>
      <c r="C140" s="615"/>
      <c r="D140" s="615"/>
      <c r="E140" s="637"/>
      <c r="F140" s="637"/>
      <c r="G140" s="637"/>
      <c r="H140" s="635"/>
      <c r="I140" s="476"/>
      <c r="J140" s="637"/>
      <c r="K140" s="635"/>
      <c r="L140" s="635"/>
    </row>
    <row r="141" spans="1:14" ht="15.95" customHeight="1" x14ac:dyDescent="0.2">
      <c r="A141" s="652" t="s">
        <v>636</v>
      </c>
      <c r="B141" s="621"/>
      <c r="C141" s="615"/>
      <c r="D141" s="615"/>
      <c r="E141" s="615"/>
      <c r="F141" s="615"/>
      <c r="G141" s="615"/>
      <c r="H141" s="622"/>
      <c r="I141" s="468"/>
      <c r="J141" s="615"/>
      <c r="K141" s="622"/>
      <c r="L141" s="622"/>
    </row>
    <row r="142" spans="1:14" x14ac:dyDescent="0.2">
      <c r="A142" s="1524" t="s">
        <v>89</v>
      </c>
      <c r="B142" s="613">
        <v>5110</v>
      </c>
      <c r="C142" s="615"/>
      <c r="D142" s="615"/>
      <c r="E142" s="615"/>
      <c r="F142" s="615"/>
      <c r="G142" s="615"/>
      <c r="H142" s="480">
        <v>0</v>
      </c>
      <c r="I142" s="468"/>
      <c r="J142" s="615"/>
      <c r="K142" s="1692">
        <f>SUM(H142)</f>
        <v>0</v>
      </c>
      <c r="L142" s="480">
        <v>0</v>
      </c>
    </row>
    <row r="143" spans="1:14" x14ac:dyDescent="0.2">
      <c r="A143" s="1524" t="s">
        <v>90</v>
      </c>
      <c r="B143" s="613">
        <v>5120</v>
      </c>
      <c r="C143" s="615"/>
      <c r="D143" s="615"/>
      <c r="E143" s="615"/>
      <c r="F143" s="615"/>
      <c r="G143" s="615"/>
      <c r="H143" s="466">
        <v>0</v>
      </c>
      <c r="I143" s="468"/>
      <c r="J143" s="615"/>
      <c r="K143" s="1692">
        <f>SUM(H143)</f>
        <v>0</v>
      </c>
      <c r="L143" s="466">
        <v>0</v>
      </c>
    </row>
    <row r="144" spans="1:14" ht="12.75" customHeight="1" x14ac:dyDescent="0.2">
      <c r="A144" s="1524" t="s">
        <v>1232</v>
      </c>
      <c r="B144" s="627" t="s">
        <v>638</v>
      </c>
      <c r="C144" s="615"/>
      <c r="D144" s="615"/>
      <c r="E144" s="615"/>
      <c r="F144" s="615"/>
      <c r="G144" s="615"/>
      <c r="H144" s="466">
        <v>0</v>
      </c>
      <c r="I144" s="468"/>
      <c r="J144" s="615"/>
      <c r="K144" s="1692">
        <f>SUM(H144)</f>
        <v>0</v>
      </c>
      <c r="L144" s="466">
        <v>0</v>
      </c>
    </row>
    <row r="145" spans="1:14" x14ac:dyDescent="0.2">
      <c r="A145" s="1524" t="s">
        <v>91</v>
      </c>
      <c r="B145" s="613" t="s">
        <v>610</v>
      </c>
      <c r="C145" s="615"/>
      <c r="D145" s="615"/>
      <c r="E145" s="615"/>
      <c r="F145" s="615"/>
      <c r="G145" s="615"/>
      <c r="H145" s="466">
        <v>0</v>
      </c>
      <c r="I145" s="468"/>
      <c r="J145" s="615"/>
      <c r="K145" s="1692">
        <f>SUM(H145)</f>
        <v>0</v>
      </c>
      <c r="L145" s="466">
        <v>0</v>
      </c>
    </row>
    <row r="146" spans="1:14" ht="12.75" customHeight="1" x14ac:dyDescent="0.2">
      <c r="A146" s="1524" t="s">
        <v>640</v>
      </c>
      <c r="B146" s="613" t="s">
        <v>639</v>
      </c>
      <c r="C146" s="615"/>
      <c r="D146" s="615"/>
      <c r="E146" s="615"/>
      <c r="F146" s="615"/>
      <c r="G146" s="615"/>
      <c r="H146" s="466">
        <v>0</v>
      </c>
      <c r="I146" s="468"/>
      <c r="J146" s="615"/>
      <c r="K146" s="1692">
        <f>SUM(H146)</f>
        <v>0</v>
      </c>
      <c r="L146" s="466">
        <v>0</v>
      </c>
    </row>
    <row r="147" spans="1:14" ht="12.75" customHeight="1" thickBot="1" x14ac:dyDescent="0.25">
      <c r="A147" s="1535" t="s">
        <v>647</v>
      </c>
      <c r="B147" s="658" t="s">
        <v>742</v>
      </c>
      <c r="C147" s="615"/>
      <c r="D147" s="615"/>
      <c r="E147" s="615"/>
      <c r="F147" s="615"/>
      <c r="G147" s="615"/>
      <c r="H147" s="1708">
        <f>SUM(H142:H146)</f>
        <v>0</v>
      </c>
      <c r="I147" s="468"/>
      <c r="J147" s="615"/>
      <c r="K147" s="1690">
        <f>SUM(K142:K146)</f>
        <v>0</v>
      </c>
      <c r="L147" s="1708">
        <f>SUM(L142:L146)</f>
        <v>0</v>
      </c>
    </row>
    <row r="148" spans="1:14" ht="15.95" customHeight="1" thickTop="1" x14ac:dyDescent="0.2">
      <c r="A148" s="659" t="s">
        <v>1165</v>
      </c>
      <c r="B148" s="660" t="s">
        <v>38</v>
      </c>
      <c r="C148" s="615"/>
      <c r="D148" s="615"/>
      <c r="E148" s="615"/>
      <c r="F148" s="615"/>
      <c r="G148" s="615"/>
      <c r="H148" s="478">
        <v>0</v>
      </c>
      <c r="I148" s="468"/>
      <c r="J148" s="615"/>
      <c r="K148" s="1692">
        <f>SUM(H148)</f>
        <v>0</v>
      </c>
      <c r="L148" s="490">
        <v>0</v>
      </c>
    </row>
    <row r="149" spans="1:14" ht="12.75" customHeight="1" thickBot="1" x14ac:dyDescent="0.25">
      <c r="A149" s="1527" t="s">
        <v>659</v>
      </c>
      <c r="B149" s="616" t="s">
        <v>513</v>
      </c>
      <c r="C149" s="615"/>
      <c r="D149" s="615"/>
      <c r="E149" s="615"/>
      <c r="F149" s="615"/>
      <c r="G149" s="615"/>
      <c r="H149" s="1690">
        <f>SUM(H147,H148)</f>
        <v>0</v>
      </c>
      <c r="I149" s="468"/>
      <c r="J149" s="615"/>
      <c r="K149" s="1690">
        <f>SUM(K147:K148)</f>
        <v>0</v>
      </c>
      <c r="L149" s="1690">
        <f>SUM(L142:L146,L148)</f>
        <v>0</v>
      </c>
    </row>
    <row r="150" spans="1:14" ht="15.95" customHeight="1" thickTop="1" thickBot="1" x14ac:dyDescent="0.25">
      <c r="A150" s="1626" t="s">
        <v>1098</v>
      </c>
      <c r="B150" s="1633" t="s">
        <v>916</v>
      </c>
      <c r="C150" s="615"/>
      <c r="D150" s="615"/>
      <c r="E150" s="615"/>
      <c r="F150" s="615"/>
      <c r="G150" s="615"/>
      <c r="H150" s="661"/>
      <c r="I150" s="519"/>
      <c r="J150" s="615"/>
      <c r="K150" s="622"/>
      <c r="L150" s="571">
        <v>0</v>
      </c>
    </row>
    <row r="151" spans="1:14" ht="12.75" customHeight="1" thickTop="1" thickBot="1" x14ac:dyDescent="0.25">
      <c r="A151" s="2316" t="s">
        <v>641</v>
      </c>
      <c r="B151" s="2296"/>
      <c r="C151" s="1690">
        <f>SUM(C129,C130,C139,C149,C150)</f>
        <v>0</v>
      </c>
      <c r="D151" s="1690">
        <f t="shared" ref="D151:K151" si="16">SUM(D129,D130,D139,D149,D150)</f>
        <v>0</v>
      </c>
      <c r="E151" s="1690">
        <f t="shared" si="16"/>
        <v>0</v>
      </c>
      <c r="F151" s="1690">
        <f t="shared" si="16"/>
        <v>0</v>
      </c>
      <c r="G151" s="1690">
        <f t="shared" si="16"/>
        <v>0</v>
      </c>
      <c r="H151" s="1690">
        <f t="shared" si="16"/>
        <v>0</v>
      </c>
      <c r="I151" s="1690">
        <f t="shared" si="16"/>
        <v>0</v>
      </c>
      <c r="J151" s="1690">
        <f t="shared" si="16"/>
        <v>0</v>
      </c>
      <c r="K151" s="1690">
        <f t="shared" si="16"/>
        <v>0</v>
      </c>
      <c r="L151" s="1690">
        <f>SUM(L129,L130,L139,L149,L150)</f>
        <v>0</v>
      </c>
    </row>
    <row r="152" spans="1:14" ht="12.75" customHeight="1" thickTop="1" x14ac:dyDescent="0.2">
      <c r="A152" s="2319" t="s">
        <v>1240</v>
      </c>
      <c r="B152" s="2320"/>
      <c r="C152" s="617"/>
      <c r="D152" s="617"/>
      <c r="E152" s="617"/>
      <c r="F152" s="617"/>
      <c r="G152" s="617"/>
      <c r="H152" s="617"/>
      <c r="I152" s="617"/>
      <c r="J152" s="615"/>
      <c r="K152" s="1704">
        <f>'Revenues 9-14'!D275-'Expenditures 15-22'!K151</f>
        <v>0</v>
      </c>
      <c r="L152" s="617"/>
    </row>
    <row r="153" spans="1:14" s="665" customFormat="1" ht="9.1999999999999993"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304" t="s">
        <v>642</v>
      </c>
      <c r="B154" s="2306"/>
      <c r="C154" s="1646"/>
      <c r="D154" s="1647"/>
      <c r="E154" s="1647"/>
      <c r="F154" s="1647"/>
      <c r="G154" s="1647"/>
      <c r="H154" s="1647"/>
      <c r="I154" s="1647"/>
      <c r="J154" s="1647"/>
      <c r="K154" s="1647"/>
      <c r="L154" s="1648"/>
      <c r="M154" s="666"/>
      <c r="N154" s="666"/>
    </row>
    <row r="155" spans="1:14" s="619" customFormat="1" ht="15.95" customHeight="1" thickBot="1" x14ac:dyDescent="0.25">
      <c r="A155" s="1637" t="s">
        <v>83</v>
      </c>
      <c r="B155" s="1638" t="s">
        <v>915</v>
      </c>
      <c r="C155" s="615"/>
      <c r="D155" s="615"/>
      <c r="E155" s="615"/>
      <c r="F155" s="615"/>
      <c r="G155" s="615"/>
      <c r="H155" s="1863"/>
      <c r="I155" s="615"/>
      <c r="J155" s="615"/>
      <c r="K155" s="1846"/>
      <c r="L155" s="1863"/>
      <c r="M155" s="618"/>
      <c r="N155" s="618"/>
    </row>
    <row r="156" spans="1:14" s="619" customFormat="1" ht="15.95" customHeight="1" thickTop="1" x14ac:dyDescent="0.2">
      <c r="A156" s="1843" t="s">
        <v>1955</v>
      </c>
      <c r="B156" s="1844"/>
      <c r="C156" s="615"/>
      <c r="D156" s="615"/>
      <c r="E156" s="615"/>
      <c r="F156" s="615"/>
      <c r="G156" s="615"/>
      <c r="H156" s="1864"/>
      <c r="I156" s="615"/>
      <c r="J156" s="615"/>
      <c r="K156" s="1845"/>
      <c r="L156" s="1864"/>
      <c r="M156" s="618"/>
      <c r="N156" s="618"/>
    </row>
    <row r="157" spans="1:14" s="619" customFormat="1" ht="12" x14ac:dyDescent="0.2">
      <c r="A157" s="1847" t="s">
        <v>517</v>
      </c>
      <c r="B157" s="1848" t="s">
        <v>1954</v>
      </c>
      <c r="C157" s="615"/>
      <c r="D157" s="615"/>
      <c r="E157" s="615"/>
      <c r="F157" s="615"/>
      <c r="G157" s="615"/>
      <c r="H157" s="640">
        <v>0</v>
      </c>
      <c r="I157" s="615"/>
      <c r="J157" s="615"/>
      <c r="K157" s="1691">
        <f>H157</f>
        <v>0</v>
      </c>
      <c r="L157" s="640">
        <v>0</v>
      </c>
      <c r="M157" s="618"/>
      <c r="N157" s="618"/>
    </row>
    <row r="158" spans="1:14" s="619" customFormat="1" ht="12" x14ac:dyDescent="0.2">
      <c r="A158" s="1847" t="s">
        <v>322</v>
      </c>
      <c r="B158" s="1848" t="s">
        <v>1956</v>
      </c>
      <c r="C158" s="615"/>
      <c r="D158" s="615"/>
      <c r="E158" s="615"/>
      <c r="F158" s="615"/>
      <c r="G158" s="615"/>
      <c r="H158" s="467">
        <v>0</v>
      </c>
      <c r="I158" s="615"/>
      <c r="J158" s="615"/>
      <c r="K158" s="1691">
        <f>H158</f>
        <v>0</v>
      </c>
      <c r="L158" s="467">
        <v>0</v>
      </c>
      <c r="M158" s="618"/>
      <c r="N158" s="618"/>
    </row>
    <row r="159" spans="1:14" s="619" customFormat="1" ht="12" x14ac:dyDescent="0.2">
      <c r="A159" s="1847" t="s">
        <v>1957</v>
      </c>
      <c r="B159" s="1848" t="s">
        <v>579</v>
      </c>
      <c r="C159" s="615"/>
      <c r="D159" s="615"/>
      <c r="E159" s="615"/>
      <c r="F159" s="615"/>
      <c r="G159" s="615"/>
      <c r="H159" s="467">
        <v>0</v>
      </c>
      <c r="I159" s="615"/>
      <c r="J159" s="615"/>
      <c r="K159" s="1691">
        <f>H159</f>
        <v>0</v>
      </c>
      <c r="L159" s="467">
        <v>0</v>
      </c>
      <c r="M159" s="618"/>
      <c r="N159" s="618"/>
    </row>
    <row r="160" spans="1:14" s="619" customFormat="1" ht="15.95" customHeight="1" thickBot="1" x14ac:dyDescent="0.25">
      <c r="A160" s="1849" t="s">
        <v>1958</v>
      </c>
      <c r="B160" s="1850" t="s">
        <v>915</v>
      </c>
      <c r="C160" s="615"/>
      <c r="D160" s="615"/>
      <c r="E160" s="615"/>
      <c r="F160" s="615"/>
      <c r="G160" s="615"/>
      <c r="H160" s="1708">
        <f>SUM(H157:H159)</f>
        <v>0</v>
      </c>
      <c r="I160" s="615"/>
      <c r="J160" s="615"/>
      <c r="K160" s="1690">
        <f>SUM(K157:K159)</f>
        <v>0</v>
      </c>
      <c r="L160" s="1708">
        <f>SUM(L157:L159)</f>
        <v>0</v>
      </c>
      <c r="M160" s="618"/>
      <c r="N160" s="618"/>
    </row>
    <row r="161" spans="1:14" s="259" customFormat="1" ht="15.95" customHeight="1" thickTop="1" x14ac:dyDescent="0.2">
      <c r="A161" s="1632" t="s">
        <v>84</v>
      </c>
      <c r="B161" s="1633" t="s">
        <v>513</v>
      </c>
      <c r="C161" s="615"/>
      <c r="D161" s="615"/>
      <c r="E161" s="615"/>
      <c r="F161" s="615"/>
      <c r="G161" s="615"/>
      <c r="H161" s="615"/>
      <c r="I161" s="615"/>
      <c r="J161" s="615"/>
      <c r="K161" s="615"/>
      <c r="L161" s="615"/>
      <c r="M161" s="612"/>
      <c r="N161" s="612"/>
    </row>
    <row r="162" spans="1:14" s="259" customFormat="1" ht="15.95" customHeight="1" x14ac:dyDescent="0.2">
      <c r="A162" s="652" t="s">
        <v>636</v>
      </c>
      <c r="B162" s="621"/>
      <c r="C162" s="615"/>
      <c r="D162" s="615"/>
      <c r="E162" s="615"/>
      <c r="F162" s="615"/>
      <c r="G162" s="615"/>
      <c r="H162" s="615"/>
      <c r="I162" s="615"/>
      <c r="J162" s="615"/>
      <c r="K162" s="622"/>
      <c r="L162" s="622"/>
      <c r="M162" s="612"/>
      <c r="N162" s="612"/>
    </row>
    <row r="163" spans="1:14" x14ac:dyDescent="0.2">
      <c r="A163" s="1524" t="s">
        <v>89</v>
      </c>
      <c r="B163" s="613">
        <v>5110</v>
      </c>
      <c r="C163" s="615"/>
      <c r="D163" s="615"/>
      <c r="E163" s="615"/>
      <c r="F163" s="615"/>
      <c r="G163" s="615"/>
      <c r="H163" s="640">
        <v>0</v>
      </c>
      <c r="I163" s="615"/>
      <c r="J163" s="615"/>
      <c r="K163" s="1691">
        <f>SUM(C163:J163)</f>
        <v>0</v>
      </c>
      <c r="L163" s="640">
        <v>0</v>
      </c>
    </row>
    <row r="164" spans="1:14" x14ac:dyDescent="0.2">
      <c r="A164" s="1524" t="s">
        <v>90</v>
      </c>
      <c r="B164" s="613">
        <v>5120</v>
      </c>
      <c r="C164" s="615"/>
      <c r="D164" s="615"/>
      <c r="E164" s="615"/>
      <c r="F164" s="615"/>
      <c r="G164" s="615"/>
      <c r="H164" s="466">
        <v>0</v>
      </c>
      <c r="I164" s="615"/>
      <c r="J164" s="615"/>
      <c r="K164" s="1691">
        <f>SUM(C164:J164)</f>
        <v>0</v>
      </c>
      <c r="L164" s="466">
        <v>0</v>
      </c>
    </row>
    <row r="165" spans="1:14" ht="12.75" customHeight="1" x14ac:dyDescent="0.2">
      <c r="A165" s="1524" t="s">
        <v>1232</v>
      </c>
      <c r="B165" s="613" t="s">
        <v>638</v>
      </c>
      <c r="C165" s="615"/>
      <c r="D165" s="615"/>
      <c r="E165" s="615"/>
      <c r="F165" s="615"/>
      <c r="G165" s="615"/>
      <c r="H165" s="466">
        <v>0</v>
      </c>
      <c r="I165" s="615"/>
      <c r="J165" s="615"/>
      <c r="K165" s="1691">
        <f>SUM(C165:J165)</f>
        <v>0</v>
      </c>
      <c r="L165" s="466">
        <v>0</v>
      </c>
    </row>
    <row r="166" spans="1:14" x14ac:dyDescent="0.2">
      <c r="A166" s="1524" t="s">
        <v>91</v>
      </c>
      <c r="B166" s="627" t="s">
        <v>610</v>
      </c>
      <c r="C166" s="615"/>
      <c r="D166" s="615"/>
      <c r="E166" s="615"/>
      <c r="F166" s="615"/>
      <c r="G166" s="615"/>
      <c r="H166" s="466">
        <v>0</v>
      </c>
      <c r="I166" s="615"/>
      <c r="J166" s="615"/>
      <c r="K166" s="1691">
        <f>SUM(C166:J166)</f>
        <v>0</v>
      </c>
      <c r="L166" s="466">
        <v>0</v>
      </c>
    </row>
    <row r="167" spans="1:14" ht="12.75" customHeight="1" x14ac:dyDescent="0.2">
      <c r="A167" s="1524" t="s">
        <v>640</v>
      </c>
      <c r="B167" s="613" t="s">
        <v>639</v>
      </c>
      <c r="C167" s="615"/>
      <c r="D167" s="615"/>
      <c r="E167" s="615"/>
      <c r="F167" s="615"/>
      <c r="G167" s="615"/>
      <c r="H167" s="466">
        <v>0</v>
      </c>
      <c r="I167" s="615"/>
      <c r="J167" s="615"/>
      <c r="K167" s="1691">
        <f>SUM(C167:J167)</f>
        <v>0</v>
      </c>
      <c r="L167" s="466">
        <v>0</v>
      </c>
    </row>
    <row r="168" spans="1:14" ht="13.5" thickBot="1" x14ac:dyDescent="0.25">
      <c r="A168" s="1688" t="s">
        <v>294</v>
      </c>
      <c r="B168" s="1695" t="s">
        <v>742</v>
      </c>
      <c r="C168" s="615"/>
      <c r="D168" s="615"/>
      <c r="E168" s="615"/>
      <c r="F168" s="615"/>
      <c r="G168" s="615"/>
      <c r="H168" s="1690">
        <f>SUM(H163:H167)</f>
        <v>0</v>
      </c>
      <c r="I168" s="615"/>
      <c r="J168" s="615"/>
      <c r="K168" s="1690">
        <f>SUM(K163:K167)</f>
        <v>0</v>
      </c>
      <c r="L168" s="1690">
        <f>SUM(L163:L167)</f>
        <v>0</v>
      </c>
    </row>
    <row r="169" spans="1:14" ht="15.95" customHeight="1" thickTop="1" x14ac:dyDescent="0.2">
      <c r="A169" s="668" t="s">
        <v>85</v>
      </c>
      <c r="B169" s="669" t="s">
        <v>38</v>
      </c>
      <c r="C169" s="615"/>
      <c r="D169" s="615"/>
      <c r="E169" s="615"/>
      <c r="F169" s="615"/>
      <c r="G169" s="615"/>
      <c r="H169" s="655">
        <v>0</v>
      </c>
      <c r="I169" s="615"/>
      <c r="J169" s="615"/>
      <c r="K169" s="1691">
        <f>SUM(C169:H169)</f>
        <v>0</v>
      </c>
      <c r="L169" s="655">
        <v>0</v>
      </c>
    </row>
    <row r="170" spans="1:14" ht="33.950000000000003" customHeight="1" x14ac:dyDescent="0.2">
      <c r="A170" s="668" t="s">
        <v>1769</v>
      </c>
      <c r="B170" s="670" t="s">
        <v>31</v>
      </c>
      <c r="C170" s="615"/>
      <c r="D170" s="615"/>
      <c r="E170" s="615"/>
      <c r="F170" s="615"/>
      <c r="G170" s="615"/>
      <c r="H170" s="567">
        <v>0</v>
      </c>
      <c r="I170" s="615"/>
      <c r="J170" s="615"/>
      <c r="K170" s="1691">
        <f>SUM(C170:J170)</f>
        <v>0</v>
      </c>
      <c r="L170" s="567">
        <v>0</v>
      </c>
    </row>
    <row r="171" spans="1:14" ht="15.95" customHeight="1" x14ac:dyDescent="0.2">
      <c r="A171" s="620" t="s">
        <v>790</v>
      </c>
      <c r="B171" s="671" t="s">
        <v>86</v>
      </c>
      <c r="C171" s="615"/>
      <c r="D171" s="615"/>
      <c r="E171" s="466">
        <v>0</v>
      </c>
      <c r="F171" s="615"/>
      <c r="G171" s="615"/>
      <c r="H171" s="567">
        <v>0</v>
      </c>
      <c r="I171" s="476"/>
      <c r="J171" s="615"/>
      <c r="K171" s="1691">
        <f>SUM(C171:J171)</f>
        <v>0</v>
      </c>
      <c r="L171" s="567">
        <v>0</v>
      </c>
    </row>
    <row r="172" spans="1:14" ht="12.75" customHeight="1" thickBot="1" x14ac:dyDescent="0.25">
      <c r="A172" s="1688" t="s">
        <v>659</v>
      </c>
      <c r="B172" s="1689" t="s">
        <v>513</v>
      </c>
      <c r="C172" s="615"/>
      <c r="D172" s="615"/>
      <c r="E172" s="1697">
        <f>SUM(E168,E169,E170,E171)</f>
        <v>0</v>
      </c>
      <c r="F172" s="615"/>
      <c r="G172" s="615"/>
      <c r="H172" s="1697">
        <f>SUM(H168,H169,H170,H171)</f>
        <v>0</v>
      </c>
      <c r="I172" s="637"/>
      <c r="J172" s="615"/>
      <c r="K172" s="1697">
        <f>SUM(K168,K169,K170,K171)</f>
        <v>0</v>
      </c>
      <c r="L172" s="1697">
        <f>SUM(L168,L169,L170,L171)</f>
        <v>0</v>
      </c>
    </row>
    <row r="173" spans="1:14" ht="15.95" customHeight="1" thickTop="1" thickBot="1" x14ac:dyDescent="0.25">
      <c r="A173" s="1639" t="s">
        <v>87</v>
      </c>
      <c r="B173" s="1631" t="s">
        <v>916</v>
      </c>
      <c r="C173" s="615"/>
      <c r="D173" s="615"/>
      <c r="E173" s="622"/>
      <c r="F173" s="615"/>
      <c r="G173" s="615"/>
      <c r="H173" s="625"/>
      <c r="I173" s="637"/>
      <c r="J173" s="615"/>
      <c r="K173" s="622"/>
      <c r="L173" s="574">
        <v>0</v>
      </c>
    </row>
    <row r="174" spans="1:14" ht="12.75" customHeight="1" thickTop="1" thickBot="1" x14ac:dyDescent="0.25">
      <c r="A174" s="1709" t="s">
        <v>92</v>
      </c>
      <c r="B174" s="1710"/>
      <c r="C174" s="615"/>
      <c r="D174" s="615"/>
      <c r="E174" s="1697">
        <f>SUM(E155,E172,E173)</f>
        <v>0</v>
      </c>
      <c r="F174" s="615"/>
      <c r="G174" s="615"/>
      <c r="H174" s="1697">
        <f>SUM(H160,H172,H173)</f>
        <v>0</v>
      </c>
      <c r="I174" s="637"/>
      <c r="J174" s="615"/>
      <c r="K174" s="1697">
        <f>SUM(K160,K172,K173)</f>
        <v>0</v>
      </c>
      <c r="L174" s="1697">
        <f>SUM(L160,L172,L173)</f>
        <v>0</v>
      </c>
    </row>
    <row r="175" spans="1:14" ht="13.5" thickTop="1" x14ac:dyDescent="0.2">
      <c r="A175" s="2299" t="s">
        <v>1053</v>
      </c>
      <c r="B175" s="2300"/>
      <c r="C175" s="615"/>
      <c r="D175" s="615"/>
      <c r="E175" s="615"/>
      <c r="F175" s="615"/>
      <c r="G175" s="615"/>
      <c r="H175" s="617"/>
      <c r="I175" s="615"/>
      <c r="J175" s="615"/>
      <c r="K175" s="1704">
        <f>'Revenues 9-14'!E275-'Expenditures 15-22'!K174</f>
        <v>0</v>
      </c>
      <c r="L175" s="617"/>
    </row>
    <row r="176" spans="1:14" s="665" customFormat="1" ht="9.1999999999999993"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4" t="s">
        <v>994</v>
      </c>
      <c r="B177" s="1575"/>
      <c r="C177" s="1571"/>
      <c r="D177" s="1572"/>
      <c r="E177" s="1572"/>
      <c r="F177" s="1572"/>
      <c r="G177" s="1572"/>
      <c r="H177" s="1572"/>
      <c r="I177" s="1572"/>
      <c r="J177" s="1572"/>
      <c r="K177" s="1572"/>
      <c r="L177" s="1573"/>
      <c r="M177" s="608"/>
      <c r="N177" s="608"/>
    </row>
    <row r="178" spans="1:14" s="673" customFormat="1" ht="15.95" customHeight="1" x14ac:dyDescent="0.2">
      <c r="A178" s="1640" t="s">
        <v>995</v>
      </c>
      <c r="B178" s="1641"/>
      <c r="C178" s="615"/>
      <c r="D178" s="615"/>
      <c r="E178" s="615"/>
      <c r="F178" s="615"/>
      <c r="G178" s="615"/>
      <c r="H178" s="615"/>
      <c r="I178" s="615"/>
      <c r="J178" s="615"/>
      <c r="K178" s="615"/>
      <c r="L178" s="615"/>
      <c r="M178" s="664"/>
      <c r="N178" s="664"/>
    </row>
    <row r="179" spans="1:14" s="673" customFormat="1" ht="15.9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4" t="s">
        <v>167</v>
      </c>
      <c r="B180" s="613">
        <v>2190</v>
      </c>
      <c r="C180" s="466">
        <v>0</v>
      </c>
      <c r="D180" s="466">
        <v>0</v>
      </c>
      <c r="E180" s="466">
        <v>0</v>
      </c>
      <c r="F180" s="466">
        <v>0</v>
      </c>
      <c r="G180" s="466">
        <v>0</v>
      </c>
      <c r="H180" s="466">
        <v>0</v>
      </c>
      <c r="I180" s="467">
        <v>0</v>
      </c>
      <c r="J180" s="467">
        <v>0</v>
      </c>
      <c r="K180" s="1691">
        <f>SUM(C180:J180)</f>
        <v>0</v>
      </c>
      <c r="L180" s="466">
        <v>0</v>
      </c>
    </row>
    <row r="181" spans="1:14" ht="15.95" customHeight="1" x14ac:dyDescent="0.2">
      <c r="A181" s="623" t="s">
        <v>633</v>
      </c>
      <c r="B181" s="675"/>
      <c r="C181" s="568"/>
      <c r="D181" s="568"/>
      <c r="E181" s="568"/>
      <c r="F181" s="568"/>
      <c r="G181" s="568"/>
      <c r="H181" s="568"/>
      <c r="I181" s="468"/>
      <c r="J181" s="468"/>
      <c r="K181" s="568"/>
      <c r="L181" s="568"/>
    </row>
    <row r="182" spans="1:14" ht="12.75" customHeight="1" x14ac:dyDescent="0.2">
      <c r="A182" s="1524" t="s">
        <v>1010</v>
      </c>
      <c r="B182" s="613">
        <v>2550</v>
      </c>
      <c r="C182" s="467">
        <v>0</v>
      </c>
      <c r="D182" s="467">
        <v>0</v>
      </c>
      <c r="E182" s="467">
        <v>0</v>
      </c>
      <c r="F182" s="467">
        <v>0</v>
      </c>
      <c r="G182" s="467">
        <v>0</v>
      </c>
      <c r="H182" s="466">
        <v>0</v>
      </c>
      <c r="I182" s="467">
        <v>0</v>
      </c>
      <c r="J182" s="467">
        <v>0</v>
      </c>
      <c r="K182" s="1691">
        <f>SUM(C182:J182)</f>
        <v>0</v>
      </c>
      <c r="L182" s="466">
        <v>0</v>
      </c>
    </row>
    <row r="183" spans="1:14" ht="12.75" customHeight="1" thickBot="1" x14ac:dyDescent="0.25">
      <c r="A183" s="1529" t="s">
        <v>1037</v>
      </c>
      <c r="B183" s="676">
        <v>2900</v>
      </c>
      <c r="C183" s="571">
        <v>0</v>
      </c>
      <c r="D183" s="571">
        <v>0</v>
      </c>
      <c r="E183" s="571">
        <v>0</v>
      </c>
      <c r="F183" s="571">
        <v>0</v>
      </c>
      <c r="G183" s="571">
        <v>0</v>
      </c>
      <c r="H183" s="571">
        <v>0</v>
      </c>
      <c r="I183" s="530">
        <v>0</v>
      </c>
      <c r="J183" s="530">
        <v>0</v>
      </c>
      <c r="K183" s="1697">
        <f>SUM(C183:J183)</f>
        <v>0</v>
      </c>
      <c r="L183" s="571">
        <v>0</v>
      </c>
    </row>
    <row r="184" spans="1:14" ht="12.75" customHeight="1" thickTop="1" thickBot="1" x14ac:dyDescent="0.25">
      <c r="A184" s="1711" t="s">
        <v>865</v>
      </c>
      <c r="B184" s="1689" t="s">
        <v>590</v>
      </c>
      <c r="C184" s="1697">
        <f>SUM(C180,C182,C183)</f>
        <v>0</v>
      </c>
      <c r="D184" s="1697">
        <f t="shared" ref="D184:J184" si="17">SUM(D180,D182,D183)</f>
        <v>0</v>
      </c>
      <c r="E184" s="1697">
        <f t="shared" si="17"/>
        <v>0</v>
      </c>
      <c r="F184" s="1697">
        <f t="shared" si="17"/>
        <v>0</v>
      </c>
      <c r="G184" s="1697">
        <f t="shared" si="17"/>
        <v>0</v>
      </c>
      <c r="H184" s="1697">
        <f t="shared" si="17"/>
        <v>0</v>
      </c>
      <c r="I184" s="1697">
        <f t="shared" si="17"/>
        <v>0</v>
      </c>
      <c r="J184" s="1697">
        <f t="shared" si="17"/>
        <v>0</v>
      </c>
      <c r="K184" s="1697">
        <f>SUM(K180,K182,K183)</f>
        <v>0</v>
      </c>
      <c r="L184" s="1697">
        <f>SUM(L180, L182:L183)</f>
        <v>0</v>
      </c>
    </row>
    <row r="185" spans="1:14" ht="15.95" customHeight="1" thickTop="1" thickBot="1" x14ac:dyDescent="0.25">
      <c r="A185" s="1642" t="s">
        <v>996</v>
      </c>
      <c r="B185" s="1631">
        <v>3000</v>
      </c>
      <c r="C185" s="574">
        <v>0</v>
      </c>
      <c r="D185" s="574">
        <v>0</v>
      </c>
      <c r="E185" s="574">
        <v>0</v>
      </c>
      <c r="F185" s="574">
        <v>0</v>
      </c>
      <c r="G185" s="574">
        <v>0</v>
      </c>
      <c r="H185" s="574">
        <v>0</v>
      </c>
      <c r="I185" s="529">
        <v>0</v>
      </c>
      <c r="J185" s="529">
        <v>0</v>
      </c>
      <c r="K185" s="1690">
        <f>SUM(C185:J185)</f>
        <v>0</v>
      </c>
      <c r="L185" s="574">
        <v>0</v>
      </c>
    </row>
    <row r="186" spans="1:14" s="673" customFormat="1" ht="15.95" customHeight="1" thickTop="1" x14ac:dyDescent="0.2">
      <c r="A186" s="1626" t="s">
        <v>93</v>
      </c>
      <c r="B186" s="1629" t="s">
        <v>915</v>
      </c>
      <c r="C186" s="615"/>
      <c r="D186" s="615"/>
      <c r="E186" s="615"/>
      <c r="F186" s="615"/>
      <c r="G186" s="615"/>
      <c r="H186" s="615"/>
      <c r="I186" s="615"/>
      <c r="J186" s="615"/>
      <c r="K186" s="615"/>
      <c r="L186" s="615"/>
      <c r="M186" s="664"/>
      <c r="N186" s="664"/>
    </row>
    <row r="187" spans="1:14" s="673" customFormat="1" ht="15.95" customHeight="1" x14ac:dyDescent="0.2">
      <c r="A187" s="620" t="s">
        <v>1193</v>
      </c>
      <c r="B187" s="621"/>
      <c r="C187" s="615"/>
      <c r="D187" s="615"/>
      <c r="E187" s="615"/>
      <c r="F187" s="615"/>
      <c r="G187" s="615"/>
      <c r="H187" s="615"/>
      <c r="I187" s="615"/>
      <c r="J187" s="615"/>
      <c r="K187" s="615"/>
      <c r="L187" s="615"/>
      <c r="M187" s="664"/>
      <c r="N187" s="664"/>
    </row>
    <row r="188" spans="1:14" x14ac:dyDescent="0.2">
      <c r="A188" s="1524" t="s">
        <v>517</v>
      </c>
      <c r="B188" s="613">
        <v>4110</v>
      </c>
      <c r="C188" s="615"/>
      <c r="D188" s="615"/>
      <c r="E188" s="466">
        <v>0</v>
      </c>
      <c r="F188" s="615"/>
      <c r="G188" s="615"/>
      <c r="H188" s="466">
        <v>0</v>
      </c>
      <c r="I188" s="476"/>
      <c r="J188" s="615"/>
      <c r="K188" s="1691">
        <f t="shared" ref="K188:K193" si="18">SUM(E188,H188)</f>
        <v>0</v>
      </c>
      <c r="L188" s="466">
        <v>0</v>
      </c>
    </row>
    <row r="189" spans="1:14" x14ac:dyDescent="0.2">
      <c r="A189" s="1524" t="s">
        <v>322</v>
      </c>
      <c r="B189" s="613">
        <v>4120</v>
      </c>
      <c r="C189" s="615"/>
      <c r="D189" s="615"/>
      <c r="E189" s="466">
        <v>0</v>
      </c>
      <c r="F189" s="615"/>
      <c r="G189" s="615"/>
      <c r="H189" s="466">
        <v>0</v>
      </c>
      <c r="I189" s="476"/>
      <c r="J189" s="615"/>
      <c r="K189" s="1691">
        <f t="shared" si="18"/>
        <v>0</v>
      </c>
      <c r="L189" s="466">
        <v>0</v>
      </c>
    </row>
    <row r="190" spans="1:14" x14ac:dyDescent="0.2">
      <c r="A190" s="1524" t="s">
        <v>323</v>
      </c>
      <c r="B190" s="627">
        <v>4130</v>
      </c>
      <c r="C190" s="615"/>
      <c r="D190" s="615"/>
      <c r="E190" s="466">
        <v>0</v>
      </c>
      <c r="F190" s="615"/>
      <c r="G190" s="615"/>
      <c r="H190" s="466">
        <v>0</v>
      </c>
      <c r="I190" s="476"/>
      <c r="J190" s="615"/>
      <c r="K190" s="1691">
        <f t="shared" si="18"/>
        <v>0</v>
      </c>
      <c r="L190" s="466">
        <v>0</v>
      </c>
    </row>
    <row r="191" spans="1:14" x14ac:dyDescent="0.2">
      <c r="A191" s="1524" t="s">
        <v>721</v>
      </c>
      <c r="B191" s="613">
        <v>4140</v>
      </c>
      <c r="C191" s="615"/>
      <c r="D191" s="615"/>
      <c r="E191" s="466">
        <v>0</v>
      </c>
      <c r="F191" s="615"/>
      <c r="G191" s="615"/>
      <c r="H191" s="466">
        <v>0</v>
      </c>
      <c r="I191" s="476"/>
      <c r="J191" s="615"/>
      <c r="K191" s="1691">
        <f t="shared" si="18"/>
        <v>0</v>
      </c>
      <c r="L191" s="466">
        <v>0</v>
      </c>
    </row>
    <row r="192" spans="1:14" x14ac:dyDescent="0.2">
      <c r="A192" s="1524" t="s">
        <v>88</v>
      </c>
      <c r="B192" s="613">
        <v>4170</v>
      </c>
      <c r="C192" s="615"/>
      <c r="D192" s="615"/>
      <c r="E192" s="466">
        <v>0</v>
      </c>
      <c r="F192" s="615"/>
      <c r="G192" s="615"/>
      <c r="H192" s="466">
        <v>0</v>
      </c>
      <c r="I192" s="476"/>
      <c r="J192" s="615"/>
      <c r="K192" s="1691">
        <f t="shared" si="18"/>
        <v>0</v>
      </c>
      <c r="L192" s="466">
        <v>0</v>
      </c>
    </row>
    <row r="193" spans="1:14" x14ac:dyDescent="0.2">
      <c r="A193" s="1528" t="s">
        <v>722</v>
      </c>
      <c r="B193" s="627">
        <v>4190</v>
      </c>
      <c r="C193" s="615"/>
      <c r="D193" s="615"/>
      <c r="E193" s="466">
        <v>0</v>
      </c>
      <c r="F193" s="615"/>
      <c r="G193" s="615"/>
      <c r="H193" s="466">
        <v>0</v>
      </c>
      <c r="I193" s="476"/>
      <c r="J193" s="615"/>
      <c r="K193" s="1691">
        <f t="shared" si="18"/>
        <v>0</v>
      </c>
      <c r="L193" s="466">
        <v>0</v>
      </c>
    </row>
    <row r="194" spans="1:14" ht="12.75" customHeight="1" thickBot="1" x14ac:dyDescent="0.25">
      <c r="A194" s="1688" t="s">
        <v>1202</v>
      </c>
      <c r="B194" s="1689" t="s">
        <v>580</v>
      </c>
      <c r="C194" s="615"/>
      <c r="D194" s="615"/>
      <c r="E194" s="1690">
        <f>SUM(E188:E193)</f>
        <v>0</v>
      </c>
      <c r="F194" s="615"/>
      <c r="G194" s="615"/>
      <c r="H194" s="1690">
        <f>SUM(H188:H193)</f>
        <v>0</v>
      </c>
      <c r="I194" s="476"/>
      <c r="J194" s="615"/>
      <c r="K194" s="1690">
        <f>SUM(K188:K193)</f>
        <v>0</v>
      </c>
      <c r="L194" s="1690">
        <f>SUM(L188:L193)</f>
        <v>0</v>
      </c>
    </row>
    <row r="195" spans="1:14" ht="15.95" customHeight="1" thickTop="1" x14ac:dyDescent="0.2">
      <c r="A195" s="668" t="s">
        <v>94</v>
      </c>
      <c r="B195" s="677" t="s">
        <v>988</v>
      </c>
      <c r="C195" s="615"/>
      <c r="D195" s="615"/>
      <c r="E195" s="655">
        <v>0</v>
      </c>
      <c r="F195" s="615"/>
      <c r="G195" s="615"/>
      <c r="H195" s="655">
        <v>0</v>
      </c>
      <c r="I195" s="476"/>
      <c r="J195" s="615"/>
      <c r="K195" s="1705">
        <f>SUM(E195,H195)</f>
        <v>0</v>
      </c>
      <c r="L195" s="655">
        <v>0</v>
      </c>
    </row>
    <row r="196" spans="1:14" ht="12.75" customHeight="1" thickBot="1" x14ac:dyDescent="0.25">
      <c r="A196" s="1688" t="s">
        <v>1567</v>
      </c>
      <c r="B196" s="1689" t="s">
        <v>915</v>
      </c>
      <c r="C196" s="615"/>
      <c r="D196" s="615"/>
      <c r="E196" s="1697">
        <f>SUM(E194,E195)</f>
        <v>0</v>
      </c>
      <c r="F196" s="615"/>
      <c r="G196" s="615"/>
      <c r="H196" s="1697">
        <f>SUM(H194,H195)</f>
        <v>0</v>
      </c>
      <c r="I196" s="476"/>
      <c r="J196" s="615"/>
      <c r="K196" s="1697">
        <f>SUM(K194,K195)</f>
        <v>0</v>
      </c>
      <c r="L196" s="1697">
        <f>SUM(L194,L195)</f>
        <v>0</v>
      </c>
    </row>
    <row r="197" spans="1:14" s="673" customFormat="1" ht="15.95" customHeight="1" thickTop="1" x14ac:dyDescent="0.2">
      <c r="A197" s="1632" t="s">
        <v>997</v>
      </c>
      <c r="B197" s="1629" t="s">
        <v>513</v>
      </c>
      <c r="C197" s="615"/>
      <c r="D197" s="615"/>
      <c r="E197" s="615"/>
      <c r="F197" s="615"/>
      <c r="G197" s="615"/>
      <c r="H197" s="615"/>
      <c r="I197" s="615"/>
      <c r="J197" s="615"/>
      <c r="K197" s="615"/>
      <c r="L197" s="615"/>
      <c r="M197" s="664"/>
      <c r="N197" s="664"/>
    </row>
    <row r="198" spans="1:14" s="673" customFormat="1" ht="15.95" customHeight="1" x14ac:dyDescent="0.2">
      <c r="A198" s="652" t="s">
        <v>95</v>
      </c>
      <c r="B198" s="621"/>
      <c r="C198" s="615"/>
      <c r="D198" s="615"/>
      <c r="E198" s="615"/>
      <c r="F198" s="615"/>
      <c r="G198" s="615"/>
      <c r="H198" s="615"/>
      <c r="I198" s="615"/>
      <c r="J198" s="615"/>
      <c r="K198" s="615"/>
      <c r="L198" s="615"/>
      <c r="M198" s="664"/>
      <c r="N198" s="664"/>
    </row>
    <row r="199" spans="1:14" x14ac:dyDescent="0.2">
      <c r="A199" s="1524" t="s">
        <v>89</v>
      </c>
      <c r="B199" s="613">
        <v>5110</v>
      </c>
      <c r="C199" s="615"/>
      <c r="D199" s="615"/>
      <c r="E199" s="615"/>
      <c r="F199" s="615"/>
      <c r="G199" s="615"/>
      <c r="H199" s="466">
        <v>0</v>
      </c>
      <c r="I199" s="615"/>
      <c r="J199" s="615"/>
      <c r="K199" s="1691">
        <f>SUM(H199)</f>
        <v>0</v>
      </c>
      <c r="L199" s="466">
        <v>0</v>
      </c>
    </row>
    <row r="200" spans="1:14" x14ac:dyDescent="0.2">
      <c r="A200" s="1524" t="s">
        <v>90</v>
      </c>
      <c r="B200" s="613">
        <v>5120</v>
      </c>
      <c r="C200" s="615"/>
      <c r="D200" s="615"/>
      <c r="E200" s="615"/>
      <c r="F200" s="615"/>
      <c r="G200" s="615"/>
      <c r="H200" s="466">
        <v>0</v>
      </c>
      <c r="I200" s="615"/>
      <c r="J200" s="615"/>
      <c r="K200" s="1691">
        <f>SUM(H200)</f>
        <v>0</v>
      </c>
      <c r="L200" s="466">
        <v>0</v>
      </c>
    </row>
    <row r="201" spans="1:14" ht="12.75" customHeight="1" x14ac:dyDescent="0.2">
      <c r="A201" s="1524" t="s">
        <v>1232</v>
      </c>
      <c r="B201" s="627" t="s">
        <v>638</v>
      </c>
      <c r="C201" s="615"/>
      <c r="D201" s="615"/>
      <c r="E201" s="615"/>
      <c r="F201" s="615"/>
      <c r="G201" s="615"/>
      <c r="H201" s="466">
        <v>0</v>
      </c>
      <c r="I201" s="615"/>
      <c r="J201" s="615"/>
      <c r="K201" s="1691">
        <f>SUM(H201)</f>
        <v>0</v>
      </c>
      <c r="L201" s="466">
        <v>0</v>
      </c>
    </row>
    <row r="202" spans="1:14" x14ac:dyDescent="0.2">
      <c r="A202" s="1524" t="s">
        <v>91</v>
      </c>
      <c r="B202" s="613" t="s">
        <v>610</v>
      </c>
      <c r="C202" s="615"/>
      <c r="D202" s="615"/>
      <c r="E202" s="615"/>
      <c r="F202" s="615"/>
      <c r="G202" s="615"/>
      <c r="H202" s="466">
        <v>0</v>
      </c>
      <c r="I202" s="615"/>
      <c r="J202" s="615"/>
      <c r="K202" s="1691">
        <f>SUM(H202)</f>
        <v>0</v>
      </c>
      <c r="L202" s="466">
        <v>0</v>
      </c>
    </row>
    <row r="203" spans="1:14" x14ac:dyDescent="0.2">
      <c r="A203" s="1536" t="s">
        <v>640</v>
      </c>
      <c r="B203" s="613" t="s">
        <v>639</v>
      </c>
      <c r="C203" s="615"/>
      <c r="D203" s="615"/>
      <c r="E203" s="615"/>
      <c r="F203" s="615"/>
      <c r="G203" s="615"/>
      <c r="H203" s="471">
        <v>0</v>
      </c>
      <c r="I203" s="615"/>
      <c r="J203" s="615"/>
      <c r="K203" s="1691">
        <f>SUM(H203)</f>
        <v>0</v>
      </c>
      <c r="L203" s="471">
        <v>0</v>
      </c>
    </row>
    <row r="204" spans="1:14" ht="13.5" thickBot="1" x14ac:dyDescent="0.25">
      <c r="A204" s="1688" t="s">
        <v>294</v>
      </c>
      <c r="B204" s="1689" t="s">
        <v>742</v>
      </c>
      <c r="C204" s="615"/>
      <c r="D204" s="615"/>
      <c r="E204" s="615"/>
      <c r="F204" s="615"/>
      <c r="G204" s="615"/>
      <c r="H204" s="1690">
        <f>SUM(H199:H203)</f>
        <v>0</v>
      </c>
      <c r="I204" s="615"/>
      <c r="J204" s="615"/>
      <c r="K204" s="1690">
        <f>SUM(K199:K203)</f>
        <v>0</v>
      </c>
      <c r="L204" s="1690">
        <f>SUM(L199:L203)</f>
        <v>0</v>
      </c>
    </row>
    <row r="205" spans="1:14" ht="15.95" customHeight="1" thickTop="1" x14ac:dyDescent="0.2">
      <c r="A205" s="678" t="s">
        <v>85</v>
      </c>
      <c r="B205" s="679" t="s">
        <v>38</v>
      </c>
      <c r="C205" s="615"/>
      <c r="D205" s="615"/>
      <c r="E205" s="615"/>
      <c r="F205" s="615"/>
      <c r="G205" s="615"/>
      <c r="H205" s="533">
        <v>0</v>
      </c>
      <c r="I205" s="615"/>
      <c r="J205" s="615"/>
      <c r="K205" s="1705">
        <f>SUM(H205)</f>
        <v>0</v>
      </c>
      <c r="L205" s="533">
        <v>0</v>
      </c>
    </row>
    <row r="206" spans="1:14" ht="30" customHeight="1" x14ac:dyDescent="0.2">
      <c r="A206" s="680" t="s">
        <v>1770</v>
      </c>
      <c r="B206" s="671" t="s">
        <v>31</v>
      </c>
      <c r="C206" s="615"/>
      <c r="D206" s="615"/>
      <c r="E206" s="615"/>
      <c r="F206" s="615"/>
      <c r="G206" s="615"/>
      <c r="H206" s="466">
        <v>0</v>
      </c>
      <c r="I206" s="615"/>
      <c r="J206" s="615"/>
      <c r="K206" s="1691">
        <f>SUM(H206)</f>
        <v>0</v>
      </c>
      <c r="L206" s="466">
        <v>0</v>
      </c>
    </row>
    <row r="207" spans="1:14" ht="15.95" customHeight="1" x14ac:dyDescent="0.2">
      <c r="A207" s="620" t="s">
        <v>790</v>
      </c>
      <c r="B207" s="671" t="s">
        <v>86</v>
      </c>
      <c r="C207" s="615"/>
      <c r="D207" s="615"/>
      <c r="E207" s="615"/>
      <c r="F207" s="615"/>
      <c r="G207" s="615"/>
      <c r="H207" s="467">
        <v>0</v>
      </c>
      <c r="I207" s="615"/>
      <c r="J207" s="615"/>
      <c r="K207" s="1691">
        <f>H207</f>
        <v>0</v>
      </c>
      <c r="L207" s="466">
        <v>0</v>
      </c>
    </row>
    <row r="208" spans="1:14" ht="12.75" customHeight="1" thickBot="1" x14ac:dyDescent="0.25">
      <c r="A208" s="1706" t="s">
        <v>659</v>
      </c>
      <c r="B208" s="1707" t="s">
        <v>513</v>
      </c>
      <c r="C208" s="615"/>
      <c r="D208" s="615"/>
      <c r="E208" s="615"/>
      <c r="F208" s="615"/>
      <c r="G208" s="615"/>
      <c r="H208" s="1697">
        <f>SUM(H204,H205,H206,H207)</f>
        <v>0</v>
      </c>
      <c r="I208" s="615"/>
      <c r="J208" s="615"/>
      <c r="K208" s="1697">
        <f>SUM(K204,K205,K206,K207)</f>
        <v>0</v>
      </c>
      <c r="L208" s="1697">
        <f>SUM(L204,L205,L206,L207)</f>
        <v>0</v>
      </c>
    </row>
    <row r="209" spans="1:14" ht="15.95" customHeight="1" thickTop="1" thickBot="1" x14ac:dyDescent="0.25">
      <c r="A209" s="1626" t="s">
        <v>927</v>
      </c>
      <c r="B209" s="1633" t="s">
        <v>916</v>
      </c>
      <c r="C209" s="622"/>
      <c r="D209" s="622"/>
      <c r="E209" s="622"/>
      <c r="F209" s="622"/>
      <c r="G209" s="622"/>
      <c r="H209" s="622"/>
      <c r="I209" s="615"/>
      <c r="J209" s="615"/>
      <c r="K209" s="622"/>
      <c r="L209" s="574">
        <v>0</v>
      </c>
    </row>
    <row r="210" spans="1:14" ht="12.75" customHeight="1" thickTop="1" thickBot="1" x14ac:dyDescent="0.25">
      <c r="A210" s="1712" t="s">
        <v>295</v>
      </c>
      <c r="B210" s="1713"/>
      <c r="C210" s="1690">
        <f>SUM(C184,C185)</f>
        <v>0</v>
      </c>
      <c r="D210" s="1690">
        <f>SUM(D184,D185)</f>
        <v>0</v>
      </c>
      <c r="E210" s="1690">
        <f>SUM(E184,E185,E196)</f>
        <v>0</v>
      </c>
      <c r="F210" s="1690">
        <f>SUM(F184,F185)</f>
        <v>0</v>
      </c>
      <c r="G210" s="1690">
        <f>SUM(G184,G185)</f>
        <v>0</v>
      </c>
      <c r="H210" s="1690">
        <f>SUM(H184,H185,H196,H208,H209)</f>
        <v>0</v>
      </c>
      <c r="I210" s="1690">
        <f>SUM(I184,I185)</f>
        <v>0</v>
      </c>
      <c r="J210" s="1690">
        <f>SUM(J184,J185)</f>
        <v>0</v>
      </c>
      <c r="K210" s="1691">
        <f>SUM(K184,K185,K196,K208,K209)</f>
        <v>0</v>
      </c>
      <c r="L210" s="1690">
        <f>SUM(L184,L185,L196,L208,L209)</f>
        <v>0</v>
      </c>
    </row>
    <row r="211" spans="1:14" ht="13.5" thickTop="1" x14ac:dyDescent="0.2">
      <c r="A211" s="2299" t="s">
        <v>1053</v>
      </c>
      <c r="B211" s="2300"/>
      <c r="C211" s="617"/>
      <c r="D211" s="617"/>
      <c r="E211" s="617"/>
      <c r="F211" s="617"/>
      <c r="G211" s="617"/>
      <c r="H211" s="617"/>
      <c r="I211" s="615"/>
      <c r="J211" s="615"/>
      <c r="K211" s="1704">
        <f>'Revenues 9-14'!F275-'Expenditures 15-22'!K210</f>
        <v>0</v>
      </c>
      <c r="L211" s="617"/>
    </row>
    <row r="212" spans="1:14" s="665" customFormat="1" ht="9.1999999999999993"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321" t="s">
        <v>1022</v>
      </c>
      <c r="B213" s="2322"/>
      <c r="C213" s="1571"/>
      <c r="D213" s="1572"/>
      <c r="E213" s="1572"/>
      <c r="F213" s="1572"/>
      <c r="G213" s="1572"/>
      <c r="H213" s="1572"/>
      <c r="I213" s="1572"/>
      <c r="J213" s="1572"/>
      <c r="K213" s="1572"/>
      <c r="L213" s="1573"/>
      <c r="M213" s="608"/>
      <c r="N213" s="608"/>
    </row>
    <row r="214" spans="1:14" s="673" customFormat="1" ht="15.95" customHeight="1" x14ac:dyDescent="0.2">
      <c r="A214" s="1643" t="s">
        <v>928</v>
      </c>
      <c r="B214" s="1635" t="s">
        <v>591</v>
      </c>
      <c r="C214" s="615"/>
      <c r="D214" s="622"/>
      <c r="E214" s="615"/>
      <c r="F214" s="615"/>
      <c r="G214" s="615"/>
      <c r="H214" s="615"/>
      <c r="I214" s="615"/>
      <c r="J214" s="615"/>
      <c r="K214" s="622"/>
      <c r="L214" s="622"/>
      <c r="M214" s="664"/>
      <c r="N214" s="664"/>
    </row>
    <row r="215" spans="1:14" x14ac:dyDescent="0.2">
      <c r="A215" s="1524" t="s">
        <v>1018</v>
      </c>
      <c r="B215" s="613">
        <v>1100</v>
      </c>
      <c r="C215" s="615"/>
      <c r="D215" s="466">
        <v>0</v>
      </c>
      <c r="E215" s="615"/>
      <c r="F215" s="615"/>
      <c r="G215" s="615"/>
      <c r="H215" s="615"/>
      <c r="I215" s="615"/>
      <c r="J215" s="615"/>
      <c r="K215" s="1691">
        <f>D215</f>
        <v>0</v>
      </c>
      <c r="L215" s="466">
        <v>0</v>
      </c>
    </row>
    <row r="216" spans="1:14" x14ac:dyDescent="0.2">
      <c r="A216" s="1524" t="s">
        <v>165</v>
      </c>
      <c r="B216" s="613" t="s">
        <v>1024</v>
      </c>
      <c r="C216" s="615"/>
      <c r="D216" s="467">
        <v>0</v>
      </c>
      <c r="E216" s="615"/>
      <c r="F216" s="615"/>
      <c r="G216" s="615"/>
      <c r="H216" s="615"/>
      <c r="I216" s="615"/>
      <c r="J216" s="615"/>
      <c r="K216" s="1691">
        <f t="shared" ref="K216:K228" si="19">D216</f>
        <v>0</v>
      </c>
      <c r="L216" s="466">
        <v>0</v>
      </c>
    </row>
    <row r="217" spans="1:14" x14ac:dyDescent="0.2">
      <c r="A217" s="1524" t="s">
        <v>166</v>
      </c>
      <c r="B217" s="613">
        <v>1200</v>
      </c>
      <c r="C217" s="615"/>
      <c r="D217" s="466">
        <v>0</v>
      </c>
      <c r="E217" s="615"/>
      <c r="F217" s="615"/>
      <c r="G217" s="615"/>
      <c r="H217" s="615"/>
      <c r="I217" s="615"/>
      <c r="J217" s="615"/>
      <c r="K217" s="1691">
        <f t="shared" si="19"/>
        <v>0</v>
      </c>
      <c r="L217" s="466">
        <v>0</v>
      </c>
    </row>
    <row r="218" spans="1:14" x14ac:dyDescent="0.2">
      <c r="A218" s="1524" t="s">
        <v>296</v>
      </c>
      <c r="B218" s="613" t="s">
        <v>1025</v>
      </c>
      <c r="C218" s="615"/>
      <c r="D218" s="467">
        <v>0</v>
      </c>
      <c r="E218" s="615"/>
      <c r="F218" s="615"/>
      <c r="G218" s="615"/>
      <c r="H218" s="615"/>
      <c r="I218" s="615"/>
      <c r="J218" s="615"/>
      <c r="K218" s="1691">
        <f t="shared" si="19"/>
        <v>0</v>
      </c>
      <c r="L218" s="466">
        <v>0</v>
      </c>
    </row>
    <row r="219" spans="1:14" x14ac:dyDescent="0.2">
      <c r="A219" s="1524" t="s">
        <v>297</v>
      </c>
      <c r="B219" s="613">
        <v>1250</v>
      </c>
      <c r="C219" s="615"/>
      <c r="D219" s="466">
        <v>0</v>
      </c>
      <c r="E219" s="615"/>
      <c r="F219" s="615"/>
      <c r="G219" s="615"/>
      <c r="H219" s="615"/>
      <c r="I219" s="615"/>
      <c r="J219" s="615"/>
      <c r="K219" s="1691">
        <f t="shared" si="19"/>
        <v>0</v>
      </c>
      <c r="L219" s="466">
        <v>0</v>
      </c>
    </row>
    <row r="220" spans="1:14" x14ac:dyDescent="0.2">
      <c r="A220" s="1524" t="s">
        <v>298</v>
      </c>
      <c r="B220" s="613" t="s">
        <v>163</v>
      </c>
      <c r="C220" s="615"/>
      <c r="D220" s="467">
        <v>0</v>
      </c>
      <c r="E220" s="615"/>
      <c r="F220" s="615"/>
      <c r="G220" s="615"/>
      <c r="H220" s="615"/>
      <c r="I220" s="615"/>
      <c r="J220" s="615"/>
      <c r="K220" s="1691">
        <f t="shared" si="19"/>
        <v>0</v>
      </c>
      <c r="L220" s="466">
        <v>0</v>
      </c>
    </row>
    <row r="221" spans="1:14" x14ac:dyDescent="0.2">
      <c r="A221" s="1524" t="s">
        <v>1019</v>
      </c>
      <c r="B221" s="613">
        <v>1300</v>
      </c>
      <c r="C221" s="615"/>
      <c r="D221" s="466">
        <v>0</v>
      </c>
      <c r="E221" s="615"/>
      <c r="F221" s="615"/>
      <c r="G221" s="615"/>
      <c r="H221" s="615"/>
      <c r="I221" s="615"/>
      <c r="J221" s="615"/>
      <c r="K221" s="1691">
        <f t="shared" si="19"/>
        <v>0</v>
      </c>
      <c r="L221" s="466">
        <v>0</v>
      </c>
    </row>
    <row r="222" spans="1:14" x14ac:dyDescent="0.2">
      <c r="A222" s="1524" t="s">
        <v>747</v>
      </c>
      <c r="B222" s="613">
        <v>1400</v>
      </c>
      <c r="C222" s="615"/>
      <c r="D222" s="466">
        <v>0</v>
      </c>
      <c r="E222" s="615"/>
      <c r="F222" s="615"/>
      <c r="G222" s="615"/>
      <c r="H222" s="615"/>
      <c r="I222" s="615"/>
      <c r="J222" s="615"/>
      <c r="K222" s="1691">
        <f t="shared" si="19"/>
        <v>0</v>
      </c>
      <c r="L222" s="466">
        <v>0</v>
      </c>
    </row>
    <row r="223" spans="1:14" x14ac:dyDescent="0.2">
      <c r="A223" s="1524" t="s">
        <v>1020</v>
      </c>
      <c r="B223" s="613">
        <v>1500</v>
      </c>
      <c r="C223" s="615"/>
      <c r="D223" s="466">
        <v>0</v>
      </c>
      <c r="E223" s="615"/>
      <c r="F223" s="615"/>
      <c r="G223" s="615"/>
      <c r="H223" s="615"/>
      <c r="I223" s="615"/>
      <c r="J223" s="615"/>
      <c r="K223" s="1691">
        <f t="shared" si="19"/>
        <v>0</v>
      </c>
      <c r="L223" s="466">
        <v>0</v>
      </c>
    </row>
    <row r="224" spans="1:14" x14ac:dyDescent="0.2">
      <c r="A224" s="1524" t="s">
        <v>1021</v>
      </c>
      <c r="B224" s="613">
        <v>1600</v>
      </c>
      <c r="C224" s="615"/>
      <c r="D224" s="466">
        <v>0</v>
      </c>
      <c r="E224" s="615"/>
      <c r="F224" s="615"/>
      <c r="G224" s="615"/>
      <c r="H224" s="615"/>
      <c r="I224" s="615"/>
      <c r="J224" s="615"/>
      <c r="K224" s="1691">
        <f t="shared" si="19"/>
        <v>0</v>
      </c>
      <c r="L224" s="466">
        <v>0</v>
      </c>
    </row>
    <row r="225" spans="1:12" x14ac:dyDescent="0.2">
      <c r="A225" s="1524" t="s">
        <v>1044</v>
      </c>
      <c r="B225" s="613">
        <v>1650</v>
      </c>
      <c r="C225" s="615"/>
      <c r="D225" s="466">
        <v>0</v>
      </c>
      <c r="E225" s="615"/>
      <c r="F225" s="615"/>
      <c r="G225" s="615"/>
      <c r="H225" s="615"/>
      <c r="I225" s="615"/>
      <c r="J225" s="615"/>
      <c r="K225" s="1691">
        <f t="shared" si="19"/>
        <v>0</v>
      </c>
      <c r="L225" s="466">
        <v>0</v>
      </c>
    </row>
    <row r="226" spans="1:12" x14ac:dyDescent="0.2">
      <c r="A226" s="1524" t="s">
        <v>748</v>
      </c>
      <c r="B226" s="613" t="s">
        <v>164</v>
      </c>
      <c r="C226" s="615"/>
      <c r="D226" s="467">
        <v>0</v>
      </c>
      <c r="E226" s="615"/>
      <c r="F226" s="615"/>
      <c r="G226" s="615"/>
      <c r="H226" s="615"/>
      <c r="I226" s="615"/>
      <c r="J226" s="615"/>
      <c r="K226" s="1691">
        <f t="shared" si="19"/>
        <v>0</v>
      </c>
      <c r="L226" s="466">
        <v>0</v>
      </c>
    </row>
    <row r="227" spans="1:12" x14ac:dyDescent="0.2">
      <c r="A227" s="1524" t="s">
        <v>1148</v>
      </c>
      <c r="B227" s="613">
        <v>1800</v>
      </c>
      <c r="C227" s="615"/>
      <c r="D227" s="466">
        <v>0</v>
      </c>
      <c r="E227" s="615"/>
      <c r="F227" s="615"/>
      <c r="G227" s="615"/>
      <c r="H227" s="615"/>
      <c r="I227" s="615"/>
      <c r="J227" s="615"/>
      <c r="K227" s="1691">
        <f t="shared" si="19"/>
        <v>0</v>
      </c>
      <c r="L227" s="466">
        <v>0</v>
      </c>
    </row>
    <row r="228" spans="1:12" x14ac:dyDescent="0.2">
      <c r="A228" s="1524" t="s">
        <v>1149</v>
      </c>
      <c r="B228" s="613">
        <v>1900</v>
      </c>
      <c r="C228" s="615"/>
      <c r="D228" s="466">
        <v>0</v>
      </c>
      <c r="E228" s="615"/>
      <c r="F228" s="615"/>
      <c r="G228" s="615"/>
      <c r="H228" s="615"/>
      <c r="I228" s="615"/>
      <c r="J228" s="615"/>
      <c r="K228" s="1691">
        <f t="shared" si="19"/>
        <v>0</v>
      </c>
      <c r="L228" s="466">
        <v>0</v>
      </c>
    </row>
    <row r="229" spans="1:12" ht="12.75" customHeight="1" thickBot="1" x14ac:dyDescent="0.25">
      <c r="A229" s="1688" t="s">
        <v>739</v>
      </c>
      <c r="B229" s="1695" t="s">
        <v>591</v>
      </c>
      <c r="C229" s="615"/>
      <c r="D229" s="1690">
        <f>SUM(D215:D228)</f>
        <v>0</v>
      </c>
      <c r="E229" s="615"/>
      <c r="F229" s="615"/>
      <c r="G229" s="615"/>
      <c r="H229" s="615"/>
      <c r="I229" s="615"/>
      <c r="J229" s="615"/>
      <c r="K229" s="1690">
        <f>SUM(K215:K228)</f>
        <v>0</v>
      </c>
      <c r="L229" s="1690">
        <f>SUM(L215:L228)</f>
        <v>0</v>
      </c>
    </row>
    <row r="230" spans="1:12" ht="15.95" customHeight="1" thickTop="1" x14ac:dyDescent="0.2">
      <c r="A230" s="1632" t="s">
        <v>929</v>
      </c>
      <c r="B230" s="1633" t="s">
        <v>590</v>
      </c>
      <c r="C230" s="615"/>
      <c r="D230" s="615"/>
      <c r="E230" s="615"/>
      <c r="F230" s="615"/>
      <c r="G230" s="615"/>
      <c r="H230" s="615"/>
      <c r="I230" s="615"/>
      <c r="J230" s="615"/>
      <c r="K230" s="615"/>
      <c r="L230" s="615"/>
    </row>
    <row r="231" spans="1:12" ht="15.95" customHeight="1" x14ac:dyDescent="0.2">
      <c r="A231" s="652" t="s">
        <v>612</v>
      </c>
      <c r="B231" s="621"/>
      <c r="C231" s="615"/>
      <c r="D231" s="615"/>
      <c r="E231" s="615"/>
      <c r="F231" s="615"/>
      <c r="G231" s="615"/>
      <c r="H231" s="615"/>
      <c r="I231" s="615"/>
      <c r="J231" s="615"/>
      <c r="K231" s="615"/>
      <c r="L231" s="615"/>
    </row>
    <row r="232" spans="1:12" x14ac:dyDescent="0.2">
      <c r="A232" s="1524" t="s">
        <v>1150</v>
      </c>
      <c r="B232" s="613">
        <v>2110</v>
      </c>
      <c r="C232" s="615"/>
      <c r="D232" s="466">
        <v>0</v>
      </c>
      <c r="E232" s="615"/>
      <c r="F232" s="615"/>
      <c r="G232" s="615"/>
      <c r="H232" s="615"/>
      <c r="I232" s="615"/>
      <c r="J232" s="615"/>
      <c r="K232" s="1691">
        <f t="shared" ref="K232:K237" si="20">D232</f>
        <v>0</v>
      </c>
      <c r="L232" s="466">
        <v>0</v>
      </c>
    </row>
    <row r="233" spans="1:12" x14ac:dyDescent="0.2">
      <c r="A233" s="1524" t="s">
        <v>1151</v>
      </c>
      <c r="B233" s="613">
        <v>2120</v>
      </c>
      <c r="C233" s="615"/>
      <c r="D233" s="466">
        <v>0</v>
      </c>
      <c r="E233" s="615"/>
      <c r="F233" s="615"/>
      <c r="G233" s="615"/>
      <c r="H233" s="615"/>
      <c r="I233" s="615"/>
      <c r="J233" s="615"/>
      <c r="K233" s="1691">
        <f t="shared" si="20"/>
        <v>0</v>
      </c>
      <c r="L233" s="466">
        <v>0</v>
      </c>
    </row>
    <row r="234" spans="1:12" x14ac:dyDescent="0.2">
      <c r="A234" s="1524" t="s">
        <v>207</v>
      </c>
      <c r="B234" s="613">
        <v>2130</v>
      </c>
      <c r="C234" s="615"/>
      <c r="D234" s="466">
        <v>0</v>
      </c>
      <c r="E234" s="615"/>
      <c r="F234" s="615"/>
      <c r="G234" s="615"/>
      <c r="H234" s="615"/>
      <c r="I234" s="615"/>
      <c r="J234" s="615"/>
      <c r="K234" s="1691">
        <f t="shared" si="20"/>
        <v>0</v>
      </c>
      <c r="L234" s="466">
        <v>0</v>
      </c>
    </row>
    <row r="235" spans="1:12" x14ac:dyDescent="0.2">
      <c r="A235" s="1524" t="s">
        <v>208</v>
      </c>
      <c r="B235" s="613">
        <v>2140</v>
      </c>
      <c r="C235" s="615"/>
      <c r="D235" s="466">
        <v>0</v>
      </c>
      <c r="E235" s="615"/>
      <c r="F235" s="615"/>
      <c r="G235" s="615"/>
      <c r="H235" s="615"/>
      <c r="I235" s="615"/>
      <c r="J235" s="615"/>
      <c r="K235" s="1691">
        <f t="shared" si="20"/>
        <v>0</v>
      </c>
      <c r="L235" s="466">
        <v>0</v>
      </c>
    </row>
    <row r="236" spans="1:12" x14ac:dyDescent="0.2">
      <c r="A236" s="1524" t="s">
        <v>209</v>
      </c>
      <c r="B236" s="613">
        <v>2150</v>
      </c>
      <c r="C236" s="615"/>
      <c r="D236" s="466">
        <v>0</v>
      </c>
      <c r="E236" s="615"/>
      <c r="F236" s="615"/>
      <c r="G236" s="615"/>
      <c r="H236" s="615"/>
      <c r="I236" s="615"/>
      <c r="J236" s="615"/>
      <c r="K236" s="1691">
        <f t="shared" si="20"/>
        <v>0</v>
      </c>
      <c r="L236" s="466">
        <v>0</v>
      </c>
    </row>
    <row r="237" spans="1:12" x14ac:dyDescent="0.2">
      <c r="A237" s="1524" t="s">
        <v>167</v>
      </c>
      <c r="B237" s="613">
        <v>2190</v>
      </c>
      <c r="C237" s="615"/>
      <c r="D237" s="466">
        <v>0</v>
      </c>
      <c r="E237" s="615"/>
      <c r="F237" s="615"/>
      <c r="G237" s="615"/>
      <c r="H237" s="615"/>
      <c r="I237" s="615"/>
      <c r="J237" s="615"/>
      <c r="K237" s="1691">
        <f t="shared" si="20"/>
        <v>0</v>
      </c>
      <c r="L237" s="466">
        <v>0</v>
      </c>
    </row>
    <row r="238" spans="1:12" ht="12.75" customHeight="1" thickBot="1" x14ac:dyDescent="0.25">
      <c r="A238" s="1688" t="s">
        <v>581</v>
      </c>
      <c r="B238" s="1695" t="s">
        <v>740</v>
      </c>
      <c r="C238" s="615"/>
      <c r="D238" s="1690">
        <f>SUM(D232:D237)</f>
        <v>0</v>
      </c>
      <c r="E238" s="615"/>
      <c r="F238" s="615"/>
      <c r="G238" s="615"/>
      <c r="H238" s="615"/>
      <c r="I238" s="615"/>
      <c r="J238" s="615"/>
      <c r="K238" s="1690">
        <f>SUM(K232:K237)</f>
        <v>0</v>
      </c>
      <c r="L238" s="1690">
        <f>SUM(L232:L237)</f>
        <v>0</v>
      </c>
    </row>
    <row r="239" spans="1:12" ht="15.95" customHeight="1" thickTop="1" x14ac:dyDescent="0.2">
      <c r="A239" s="623" t="s">
        <v>613</v>
      </c>
      <c r="B239" s="630"/>
      <c r="C239" s="615"/>
      <c r="D239" s="625"/>
      <c r="E239" s="615"/>
      <c r="F239" s="615"/>
      <c r="G239" s="615"/>
      <c r="H239" s="615"/>
      <c r="I239" s="615"/>
      <c r="J239" s="615"/>
      <c r="K239" s="625"/>
      <c r="L239" s="625"/>
    </row>
    <row r="240" spans="1:12" x14ac:dyDescent="0.2">
      <c r="A240" s="1524" t="s">
        <v>868</v>
      </c>
      <c r="B240" s="613">
        <v>2210</v>
      </c>
      <c r="C240" s="615"/>
      <c r="D240" s="480">
        <v>0</v>
      </c>
      <c r="E240" s="615"/>
      <c r="F240" s="615"/>
      <c r="G240" s="615"/>
      <c r="H240" s="615"/>
      <c r="I240" s="615"/>
      <c r="J240" s="615"/>
      <c r="K240" s="1692">
        <f>D240</f>
        <v>0</v>
      </c>
      <c r="L240" s="480">
        <v>0</v>
      </c>
    </row>
    <row r="241" spans="1:12" x14ac:dyDescent="0.2">
      <c r="A241" s="1524" t="s">
        <v>869</v>
      </c>
      <c r="B241" s="613">
        <v>2220</v>
      </c>
      <c r="C241" s="615"/>
      <c r="D241" s="466">
        <v>0</v>
      </c>
      <c r="E241" s="615"/>
      <c r="F241" s="615"/>
      <c r="G241" s="615"/>
      <c r="H241" s="615"/>
      <c r="I241" s="615"/>
      <c r="J241" s="615"/>
      <c r="K241" s="1692">
        <f>D241</f>
        <v>0</v>
      </c>
      <c r="L241" s="466">
        <v>0</v>
      </c>
    </row>
    <row r="242" spans="1:12" x14ac:dyDescent="0.2">
      <c r="A242" s="1524" t="s">
        <v>870</v>
      </c>
      <c r="B242" s="613">
        <v>2230</v>
      </c>
      <c r="C242" s="615"/>
      <c r="D242" s="466">
        <v>0</v>
      </c>
      <c r="E242" s="615"/>
      <c r="F242" s="615"/>
      <c r="G242" s="615"/>
      <c r="H242" s="615"/>
      <c r="I242" s="615"/>
      <c r="J242" s="615"/>
      <c r="K242" s="1692">
        <f>D242</f>
        <v>0</v>
      </c>
      <c r="L242" s="466">
        <v>0</v>
      </c>
    </row>
    <row r="243" spans="1:12" ht="12.75" customHeight="1" thickBot="1" x14ac:dyDescent="0.25">
      <c r="A243" s="1714" t="s">
        <v>582</v>
      </c>
      <c r="B243" s="1715">
        <v>2200</v>
      </c>
      <c r="C243" s="615"/>
      <c r="D243" s="1690">
        <f>SUM(D240:D242)</f>
        <v>0</v>
      </c>
      <c r="E243" s="615"/>
      <c r="F243" s="615"/>
      <c r="G243" s="615"/>
      <c r="H243" s="615"/>
      <c r="I243" s="615"/>
      <c r="J243" s="615"/>
      <c r="K243" s="1690">
        <f>SUM(K240:K242)</f>
        <v>0</v>
      </c>
      <c r="L243" s="1690">
        <f>SUM(L240:L242)</f>
        <v>0</v>
      </c>
    </row>
    <row r="244" spans="1:12" ht="15.95" customHeight="1" thickTop="1" x14ac:dyDescent="0.2">
      <c r="A244" s="623" t="s">
        <v>631</v>
      </c>
      <c r="B244" s="681"/>
      <c r="C244" s="615"/>
      <c r="D244" s="625"/>
      <c r="E244" s="615"/>
      <c r="F244" s="615"/>
      <c r="G244" s="615"/>
      <c r="H244" s="615"/>
      <c r="I244" s="615"/>
      <c r="J244" s="615"/>
      <c r="K244" s="625"/>
      <c r="L244" s="625"/>
    </row>
    <row r="245" spans="1:12" x14ac:dyDescent="0.2">
      <c r="A245" s="1524" t="s">
        <v>871</v>
      </c>
      <c r="B245" s="613">
        <v>2310</v>
      </c>
      <c r="C245" s="615"/>
      <c r="D245" s="480">
        <v>0</v>
      </c>
      <c r="E245" s="615"/>
      <c r="F245" s="615"/>
      <c r="G245" s="615"/>
      <c r="H245" s="615"/>
      <c r="I245" s="615"/>
      <c r="J245" s="615"/>
      <c r="K245" s="1692">
        <f>D245</f>
        <v>0</v>
      </c>
      <c r="L245" s="480">
        <v>0</v>
      </c>
    </row>
    <row r="246" spans="1:12" x14ac:dyDescent="0.2">
      <c r="A246" s="1524" t="s">
        <v>872</v>
      </c>
      <c r="B246" s="613">
        <v>2320</v>
      </c>
      <c r="C246" s="615"/>
      <c r="D246" s="466">
        <v>0</v>
      </c>
      <c r="E246" s="615"/>
      <c r="F246" s="615"/>
      <c r="G246" s="615"/>
      <c r="H246" s="615"/>
      <c r="I246" s="615"/>
      <c r="J246" s="615"/>
      <c r="K246" s="1692">
        <f t="shared" ref="K246:K256" si="21">D246</f>
        <v>0</v>
      </c>
      <c r="L246" s="466">
        <v>0</v>
      </c>
    </row>
    <row r="247" spans="1:12" x14ac:dyDescent="0.2">
      <c r="A247" s="1524" t="s">
        <v>873</v>
      </c>
      <c r="B247" s="613">
        <v>2330</v>
      </c>
      <c r="C247" s="615"/>
      <c r="D247" s="466">
        <v>0</v>
      </c>
      <c r="E247" s="615"/>
      <c r="F247" s="615"/>
      <c r="G247" s="615"/>
      <c r="H247" s="615"/>
      <c r="I247" s="615"/>
      <c r="J247" s="615"/>
      <c r="K247" s="1692">
        <f t="shared" si="21"/>
        <v>0</v>
      </c>
      <c r="L247" s="466">
        <v>0</v>
      </c>
    </row>
    <row r="248" spans="1:12" x14ac:dyDescent="0.2">
      <c r="A248" s="1525" t="s">
        <v>317</v>
      </c>
      <c r="B248" s="601" t="s">
        <v>299</v>
      </c>
      <c r="C248" s="615"/>
      <c r="D248" s="474">
        <v>0</v>
      </c>
      <c r="E248" s="615"/>
      <c r="F248" s="615"/>
      <c r="G248" s="615"/>
      <c r="H248" s="615"/>
      <c r="I248" s="615"/>
      <c r="J248" s="615"/>
      <c r="K248" s="1692">
        <f t="shared" si="21"/>
        <v>0</v>
      </c>
      <c r="L248" s="466">
        <v>0</v>
      </c>
    </row>
    <row r="249" spans="1:12" x14ac:dyDescent="0.2">
      <c r="A249" s="1526" t="s">
        <v>1905</v>
      </c>
      <c r="B249" s="682" t="s">
        <v>300</v>
      </c>
      <c r="C249" s="615"/>
      <c r="D249" s="474">
        <v>0</v>
      </c>
      <c r="E249" s="615"/>
      <c r="F249" s="615"/>
      <c r="G249" s="615"/>
      <c r="H249" s="615"/>
      <c r="I249" s="615"/>
      <c r="J249" s="615"/>
      <c r="K249" s="1692">
        <f t="shared" si="21"/>
        <v>0</v>
      </c>
      <c r="L249" s="466">
        <v>0</v>
      </c>
    </row>
    <row r="250" spans="1:12" x14ac:dyDescent="0.2">
      <c r="A250" s="1525" t="s">
        <v>1906</v>
      </c>
      <c r="B250" s="601" t="s">
        <v>301</v>
      </c>
      <c r="C250" s="615"/>
      <c r="D250" s="474">
        <v>0</v>
      </c>
      <c r="E250" s="615"/>
      <c r="F250" s="615"/>
      <c r="G250" s="615"/>
      <c r="H250" s="615"/>
      <c r="I250" s="615"/>
      <c r="J250" s="615"/>
      <c r="K250" s="1692">
        <f t="shared" si="21"/>
        <v>0</v>
      </c>
      <c r="L250" s="466">
        <v>0</v>
      </c>
    </row>
    <row r="251" spans="1:12" x14ac:dyDescent="0.2">
      <c r="A251" s="1525" t="s">
        <v>256</v>
      </c>
      <c r="B251" s="601" t="s">
        <v>302</v>
      </c>
      <c r="C251" s="615"/>
      <c r="D251" s="474">
        <v>0</v>
      </c>
      <c r="E251" s="615"/>
      <c r="F251" s="615"/>
      <c r="G251" s="615"/>
      <c r="H251" s="615"/>
      <c r="I251" s="615"/>
      <c r="J251" s="615"/>
      <c r="K251" s="1692">
        <f t="shared" si="21"/>
        <v>0</v>
      </c>
      <c r="L251" s="466">
        <v>0</v>
      </c>
    </row>
    <row r="252" spans="1:12" x14ac:dyDescent="0.2">
      <c r="A252" s="1525" t="s">
        <v>726</v>
      </c>
      <c r="B252" s="601" t="s">
        <v>303</v>
      </c>
      <c r="C252" s="615"/>
      <c r="D252" s="474">
        <v>0</v>
      </c>
      <c r="E252" s="615"/>
      <c r="F252" s="615"/>
      <c r="G252" s="615"/>
      <c r="H252" s="615"/>
      <c r="I252" s="615"/>
      <c r="J252" s="615"/>
      <c r="K252" s="1692">
        <f t="shared" si="21"/>
        <v>0</v>
      </c>
      <c r="L252" s="466">
        <v>0</v>
      </c>
    </row>
    <row r="253" spans="1:12" x14ac:dyDescent="0.2">
      <c r="A253" s="1525" t="s">
        <v>257</v>
      </c>
      <c r="B253" s="601" t="s">
        <v>304</v>
      </c>
      <c r="C253" s="615"/>
      <c r="D253" s="474">
        <v>0</v>
      </c>
      <c r="E253" s="615"/>
      <c r="F253" s="615"/>
      <c r="G253" s="615"/>
      <c r="H253" s="615"/>
      <c r="I253" s="615"/>
      <c r="J253" s="615"/>
      <c r="K253" s="1692">
        <f t="shared" si="21"/>
        <v>0</v>
      </c>
      <c r="L253" s="466">
        <v>0</v>
      </c>
    </row>
    <row r="254" spans="1:12" ht="22.5" x14ac:dyDescent="0.2">
      <c r="A254" s="1525" t="s">
        <v>1087</v>
      </c>
      <c r="B254" s="682" t="s">
        <v>305</v>
      </c>
      <c r="C254" s="615"/>
      <c r="D254" s="474">
        <v>0</v>
      </c>
      <c r="E254" s="615"/>
      <c r="F254" s="615"/>
      <c r="G254" s="615"/>
      <c r="H254" s="615"/>
      <c r="I254" s="615"/>
      <c r="J254" s="615"/>
      <c r="K254" s="1692">
        <f t="shared" si="21"/>
        <v>0</v>
      </c>
      <c r="L254" s="466">
        <v>0</v>
      </c>
    </row>
    <row r="255" spans="1:12" x14ac:dyDescent="0.2">
      <c r="A255" s="1525" t="s">
        <v>1088</v>
      </c>
      <c r="B255" s="601" t="s">
        <v>306</v>
      </c>
      <c r="C255" s="615"/>
      <c r="D255" s="474">
        <v>0</v>
      </c>
      <c r="E255" s="615"/>
      <c r="F255" s="615"/>
      <c r="G255" s="615"/>
      <c r="H255" s="615"/>
      <c r="I255" s="615"/>
      <c r="J255" s="615"/>
      <c r="K255" s="1692">
        <f t="shared" si="21"/>
        <v>0</v>
      </c>
      <c r="L255" s="466">
        <v>0</v>
      </c>
    </row>
    <row r="256" spans="1:12" x14ac:dyDescent="0.2">
      <c r="A256" s="1525" t="s">
        <v>1028</v>
      </c>
      <c r="B256" s="613" t="s">
        <v>307</v>
      </c>
      <c r="C256" s="615"/>
      <c r="D256" s="474">
        <v>0</v>
      </c>
      <c r="E256" s="615"/>
      <c r="F256" s="615"/>
      <c r="G256" s="615"/>
      <c r="H256" s="615"/>
      <c r="I256" s="615"/>
      <c r="J256" s="615"/>
      <c r="K256" s="1692">
        <f t="shared" si="21"/>
        <v>0</v>
      </c>
      <c r="L256" s="466">
        <v>0</v>
      </c>
    </row>
    <row r="257" spans="1:14" ht="12.75" customHeight="1" thickBot="1" x14ac:dyDescent="0.25">
      <c r="A257" s="1688" t="s">
        <v>741</v>
      </c>
      <c r="B257" s="1716">
        <v>2300</v>
      </c>
      <c r="C257" s="615"/>
      <c r="D257" s="1690">
        <f>SUM(D245:D256)</f>
        <v>0</v>
      </c>
      <c r="E257" s="615"/>
      <c r="F257" s="615"/>
      <c r="G257" s="615"/>
      <c r="H257" s="615"/>
      <c r="I257" s="615"/>
      <c r="J257" s="615"/>
      <c r="K257" s="1690">
        <f>SUM(K245:K256)</f>
        <v>0</v>
      </c>
      <c r="L257" s="1690">
        <f>SUM(L245:L256)</f>
        <v>0</v>
      </c>
    </row>
    <row r="258" spans="1:14" ht="15.95" customHeight="1" thickTop="1" x14ac:dyDescent="0.2">
      <c r="A258" s="623" t="s">
        <v>632</v>
      </c>
      <c r="B258" s="683"/>
      <c r="C258" s="615"/>
      <c r="D258" s="625"/>
      <c r="E258" s="615"/>
      <c r="F258" s="615"/>
      <c r="G258" s="615"/>
      <c r="H258" s="615"/>
      <c r="I258" s="615"/>
      <c r="J258" s="615"/>
      <c r="K258" s="625"/>
      <c r="L258" s="625"/>
    </row>
    <row r="259" spans="1:14" x14ac:dyDescent="0.2">
      <c r="A259" s="1524" t="s">
        <v>1127</v>
      </c>
      <c r="B259" s="684">
        <v>2410</v>
      </c>
      <c r="C259" s="615"/>
      <c r="D259" s="480">
        <v>0</v>
      </c>
      <c r="E259" s="615"/>
      <c r="F259" s="615"/>
      <c r="G259" s="615"/>
      <c r="H259" s="615"/>
      <c r="I259" s="615"/>
      <c r="J259" s="615"/>
      <c r="K259" s="1692">
        <f>D259</f>
        <v>0</v>
      </c>
      <c r="L259" s="480">
        <v>0</v>
      </c>
    </row>
    <row r="260" spans="1:14" s="596" customFormat="1" x14ac:dyDescent="0.2">
      <c r="A260" s="1542" t="s">
        <v>1904</v>
      </c>
      <c r="B260" s="627">
        <v>2490</v>
      </c>
      <c r="C260" s="615"/>
      <c r="D260" s="466">
        <v>0</v>
      </c>
      <c r="E260" s="615"/>
      <c r="F260" s="615"/>
      <c r="G260" s="615"/>
      <c r="H260" s="615"/>
      <c r="I260" s="615"/>
      <c r="J260" s="615"/>
      <c r="K260" s="1692">
        <f>D260</f>
        <v>0</v>
      </c>
      <c r="L260" s="466">
        <v>0</v>
      </c>
      <c r="M260" s="210"/>
      <c r="N260" s="210"/>
    </row>
    <row r="261" spans="1:14" ht="12.75" customHeight="1" thickBot="1" x14ac:dyDescent="0.25">
      <c r="A261" s="1712" t="s">
        <v>281</v>
      </c>
      <c r="B261" s="1717" t="s">
        <v>34</v>
      </c>
      <c r="C261" s="615"/>
      <c r="D261" s="1690">
        <f>SUM(D259:D260)</f>
        <v>0</v>
      </c>
      <c r="E261" s="615"/>
      <c r="F261" s="615"/>
      <c r="G261" s="615"/>
      <c r="H261" s="615"/>
      <c r="I261" s="615"/>
      <c r="J261" s="615"/>
      <c r="K261" s="1690">
        <f>SUM(K259:K260)</f>
        <v>0</v>
      </c>
      <c r="L261" s="1690">
        <f>SUM(L259:L260)</f>
        <v>0</v>
      </c>
    </row>
    <row r="262" spans="1:14" ht="15.95" customHeight="1" thickTop="1" x14ac:dyDescent="0.2">
      <c r="A262" s="623" t="s">
        <v>633</v>
      </c>
      <c r="B262" s="683"/>
      <c r="C262" s="615"/>
      <c r="D262" s="615"/>
      <c r="E262" s="615"/>
      <c r="F262" s="615"/>
      <c r="G262" s="615"/>
      <c r="H262" s="615"/>
      <c r="I262" s="615"/>
      <c r="J262" s="615"/>
      <c r="K262" s="625"/>
      <c r="L262" s="625"/>
    </row>
    <row r="263" spans="1:14" x14ac:dyDescent="0.2">
      <c r="A263" s="1524" t="s">
        <v>1128</v>
      </c>
      <c r="B263" s="684">
        <v>2510</v>
      </c>
      <c r="C263" s="615"/>
      <c r="D263" s="466">
        <v>0</v>
      </c>
      <c r="E263" s="615"/>
      <c r="F263" s="615"/>
      <c r="G263" s="615"/>
      <c r="H263" s="615"/>
      <c r="I263" s="615"/>
      <c r="J263" s="615"/>
      <c r="K263" s="1692">
        <f>D263</f>
        <v>0</v>
      </c>
      <c r="L263" s="480">
        <v>0</v>
      </c>
    </row>
    <row r="264" spans="1:14" x14ac:dyDescent="0.2">
      <c r="A264" s="1524" t="s">
        <v>483</v>
      </c>
      <c r="B264" s="684">
        <v>2520</v>
      </c>
      <c r="C264" s="615"/>
      <c r="D264" s="466">
        <v>0</v>
      </c>
      <c r="E264" s="615"/>
      <c r="F264" s="615"/>
      <c r="G264" s="615"/>
      <c r="H264" s="615"/>
      <c r="I264" s="615"/>
      <c r="J264" s="615"/>
      <c r="K264" s="1692">
        <f t="shared" ref="K264:K269" si="22">D264</f>
        <v>0</v>
      </c>
      <c r="L264" s="466">
        <v>0</v>
      </c>
    </row>
    <row r="265" spans="1:14" x14ac:dyDescent="0.2">
      <c r="A265" s="1524" t="s">
        <v>4</v>
      </c>
      <c r="B265" s="613">
        <v>2530</v>
      </c>
      <c r="C265" s="615"/>
      <c r="D265" s="466">
        <v>0</v>
      </c>
      <c r="E265" s="615"/>
      <c r="F265" s="615"/>
      <c r="G265" s="615"/>
      <c r="H265" s="615"/>
      <c r="I265" s="615"/>
      <c r="J265" s="615"/>
      <c r="K265" s="1692">
        <f t="shared" si="22"/>
        <v>0</v>
      </c>
      <c r="L265" s="466">
        <v>0</v>
      </c>
    </row>
    <row r="266" spans="1:14" x14ac:dyDescent="0.2">
      <c r="A266" s="1524" t="s">
        <v>206</v>
      </c>
      <c r="B266" s="613">
        <v>2540</v>
      </c>
      <c r="C266" s="615"/>
      <c r="D266" s="466">
        <v>0</v>
      </c>
      <c r="E266" s="615"/>
      <c r="F266" s="615"/>
      <c r="G266" s="615"/>
      <c r="H266" s="615"/>
      <c r="I266" s="615"/>
      <c r="J266" s="615"/>
      <c r="K266" s="1692">
        <f t="shared" si="22"/>
        <v>0</v>
      </c>
      <c r="L266" s="466">
        <v>0</v>
      </c>
    </row>
    <row r="267" spans="1:14" x14ac:dyDescent="0.2">
      <c r="A267" s="1524" t="s">
        <v>1010</v>
      </c>
      <c r="B267" s="613">
        <v>2550</v>
      </c>
      <c r="C267" s="615"/>
      <c r="D267" s="466">
        <v>0</v>
      </c>
      <c r="E267" s="615"/>
      <c r="F267" s="615"/>
      <c r="G267" s="615"/>
      <c r="H267" s="615"/>
      <c r="I267" s="615"/>
      <c r="J267" s="615"/>
      <c r="K267" s="1692">
        <f t="shared" si="22"/>
        <v>0</v>
      </c>
      <c r="L267" s="466">
        <v>0</v>
      </c>
    </row>
    <row r="268" spans="1:14" x14ac:dyDescent="0.2">
      <c r="A268" s="1524" t="s">
        <v>102</v>
      </c>
      <c r="B268" s="613">
        <v>2560</v>
      </c>
      <c r="C268" s="615"/>
      <c r="D268" s="466">
        <v>0</v>
      </c>
      <c r="E268" s="615"/>
      <c r="F268" s="615"/>
      <c r="G268" s="615"/>
      <c r="H268" s="615"/>
      <c r="I268" s="615"/>
      <c r="J268" s="615"/>
      <c r="K268" s="1692">
        <f t="shared" si="22"/>
        <v>0</v>
      </c>
      <c r="L268" s="466">
        <v>0</v>
      </c>
    </row>
    <row r="269" spans="1:14" x14ac:dyDescent="0.2">
      <c r="A269" s="1524" t="s">
        <v>103</v>
      </c>
      <c r="B269" s="613">
        <v>2570</v>
      </c>
      <c r="C269" s="615"/>
      <c r="D269" s="466">
        <v>0</v>
      </c>
      <c r="E269" s="615"/>
      <c r="F269" s="615"/>
      <c r="G269" s="615"/>
      <c r="H269" s="615"/>
      <c r="I269" s="615"/>
      <c r="J269" s="615"/>
      <c r="K269" s="1692">
        <f t="shared" si="22"/>
        <v>0</v>
      </c>
      <c r="L269" s="466">
        <v>0</v>
      </c>
    </row>
    <row r="270" spans="1:14" ht="12.75" customHeight="1" thickBot="1" x14ac:dyDescent="0.25">
      <c r="A270" s="1688" t="s">
        <v>743</v>
      </c>
      <c r="B270" s="1695" t="s">
        <v>35</v>
      </c>
      <c r="C270" s="615"/>
      <c r="D270" s="1690">
        <f>SUM(D263:D269)</f>
        <v>0</v>
      </c>
      <c r="E270" s="615"/>
      <c r="F270" s="615"/>
      <c r="G270" s="615"/>
      <c r="H270" s="615"/>
      <c r="I270" s="615"/>
      <c r="J270" s="615"/>
      <c r="K270" s="1690">
        <f>SUM(K263:K269)</f>
        <v>0</v>
      </c>
      <c r="L270" s="1690">
        <f>SUM(L263:L269)</f>
        <v>0</v>
      </c>
    </row>
    <row r="271" spans="1:14" ht="15.95" customHeight="1" thickTop="1" x14ac:dyDescent="0.2">
      <c r="A271" s="668" t="s">
        <v>634</v>
      </c>
      <c r="B271" s="624"/>
      <c r="C271" s="615"/>
      <c r="D271" s="625"/>
      <c r="E271" s="615"/>
      <c r="F271" s="615"/>
      <c r="G271" s="615"/>
      <c r="H271" s="615"/>
      <c r="I271" s="615"/>
      <c r="J271" s="615"/>
      <c r="K271" s="625"/>
      <c r="L271" s="625"/>
    </row>
    <row r="272" spans="1:14" x14ac:dyDescent="0.2">
      <c r="A272" s="1524" t="s">
        <v>1120</v>
      </c>
      <c r="B272" s="613">
        <v>2610</v>
      </c>
      <c r="C272" s="615"/>
      <c r="D272" s="480">
        <v>0</v>
      </c>
      <c r="E272" s="615"/>
      <c r="F272" s="615"/>
      <c r="G272" s="615"/>
      <c r="H272" s="615"/>
      <c r="I272" s="615"/>
      <c r="J272" s="615"/>
      <c r="K272" s="1692">
        <f>D272</f>
        <v>0</v>
      </c>
      <c r="L272" s="480">
        <v>0</v>
      </c>
    </row>
    <row r="273" spans="1:12" x14ac:dyDescent="0.2">
      <c r="A273" s="1524" t="s">
        <v>628</v>
      </c>
      <c r="B273" s="627">
        <v>2620</v>
      </c>
      <c r="C273" s="615"/>
      <c r="D273" s="466">
        <v>0</v>
      </c>
      <c r="E273" s="615"/>
      <c r="F273" s="615"/>
      <c r="G273" s="615"/>
      <c r="H273" s="615"/>
      <c r="I273" s="615"/>
      <c r="J273" s="615"/>
      <c r="K273" s="1692">
        <f>D273</f>
        <v>0</v>
      </c>
      <c r="L273" s="466">
        <v>0</v>
      </c>
    </row>
    <row r="274" spans="1:12" ht="12" customHeight="1" x14ac:dyDescent="0.2">
      <c r="A274" s="1524" t="s">
        <v>1121</v>
      </c>
      <c r="B274" s="613">
        <v>2630</v>
      </c>
      <c r="C274" s="615"/>
      <c r="D274" s="466">
        <v>0</v>
      </c>
      <c r="E274" s="615"/>
      <c r="F274" s="615"/>
      <c r="G274" s="615"/>
      <c r="H274" s="615"/>
      <c r="I274" s="615"/>
      <c r="J274" s="615"/>
      <c r="K274" s="1692">
        <f>D274</f>
        <v>0</v>
      </c>
      <c r="L274" s="466">
        <v>0</v>
      </c>
    </row>
    <row r="275" spans="1:12" x14ac:dyDescent="0.2">
      <c r="A275" s="1524" t="s">
        <v>423</v>
      </c>
      <c r="B275" s="613">
        <v>2640</v>
      </c>
      <c r="C275" s="615"/>
      <c r="D275" s="466">
        <v>0</v>
      </c>
      <c r="E275" s="615"/>
      <c r="F275" s="615"/>
      <c r="G275" s="615"/>
      <c r="H275" s="615"/>
      <c r="I275" s="615"/>
      <c r="J275" s="615"/>
      <c r="K275" s="1692">
        <f>D275</f>
        <v>0</v>
      </c>
      <c r="L275" s="466">
        <v>0</v>
      </c>
    </row>
    <row r="276" spans="1:12" x14ac:dyDescent="0.2">
      <c r="A276" s="1524" t="s">
        <v>424</v>
      </c>
      <c r="B276" s="613">
        <v>2660</v>
      </c>
      <c r="C276" s="615"/>
      <c r="D276" s="466">
        <v>0</v>
      </c>
      <c r="E276" s="615"/>
      <c r="F276" s="615"/>
      <c r="G276" s="615"/>
      <c r="H276" s="615"/>
      <c r="I276" s="615"/>
      <c r="J276" s="615"/>
      <c r="K276" s="1692">
        <f>D276</f>
        <v>0</v>
      </c>
      <c r="L276" s="466">
        <v>0</v>
      </c>
    </row>
    <row r="277" spans="1:12" ht="12.75" customHeight="1" thickBot="1" x14ac:dyDescent="0.25">
      <c r="A277" s="1711" t="s">
        <v>37</v>
      </c>
      <c r="B277" s="1689" t="s">
        <v>36</v>
      </c>
      <c r="C277" s="615"/>
      <c r="D277" s="1690">
        <f>SUM(D272:D276)</f>
        <v>0</v>
      </c>
      <c r="E277" s="615"/>
      <c r="F277" s="615"/>
      <c r="G277" s="615"/>
      <c r="H277" s="615"/>
      <c r="I277" s="615"/>
      <c r="J277" s="615"/>
      <c r="K277" s="1690">
        <f>SUM(K272:K276)</f>
        <v>0</v>
      </c>
      <c r="L277" s="1690">
        <f>SUM(L272:L276)</f>
        <v>0</v>
      </c>
    </row>
    <row r="278" spans="1:12" ht="13.5" customHeight="1" thickTop="1" x14ac:dyDescent="0.2">
      <c r="A278" s="1530" t="s">
        <v>1037</v>
      </c>
      <c r="B278" s="654" t="s">
        <v>595</v>
      </c>
      <c r="C278" s="615"/>
      <c r="D278" s="655">
        <v>0</v>
      </c>
      <c r="E278" s="615"/>
      <c r="F278" s="615"/>
      <c r="G278" s="615"/>
      <c r="H278" s="615"/>
      <c r="I278" s="615"/>
      <c r="J278" s="615"/>
      <c r="K278" s="1705">
        <f>D278</f>
        <v>0</v>
      </c>
      <c r="L278" s="655">
        <v>0</v>
      </c>
    </row>
    <row r="279" spans="1:12" ht="12.75" customHeight="1" thickBot="1" x14ac:dyDescent="0.25">
      <c r="A279" s="1718" t="s">
        <v>865</v>
      </c>
      <c r="B279" s="1701">
        <v>2000</v>
      </c>
      <c r="C279" s="615"/>
      <c r="D279" s="1697">
        <f>SUM(D238,D243,D257,D261,D270,D277,D278)</f>
        <v>0</v>
      </c>
      <c r="E279" s="615"/>
      <c r="F279" s="615"/>
      <c r="G279" s="615"/>
      <c r="H279" s="615"/>
      <c r="I279" s="615"/>
      <c r="J279" s="615"/>
      <c r="K279" s="1697">
        <f>SUM(K238,K243,K257,K261,K270,K277,K278)</f>
        <v>0</v>
      </c>
      <c r="L279" s="1697">
        <f>SUM(L238,L243,L257,L261,L270,L277,L278)</f>
        <v>0</v>
      </c>
    </row>
    <row r="280" spans="1:12" ht="15.95" customHeight="1" thickTop="1" thickBot="1" x14ac:dyDescent="0.25">
      <c r="A280" s="1644" t="s">
        <v>930</v>
      </c>
      <c r="B280" s="1633">
        <v>3000</v>
      </c>
      <c r="C280" s="615"/>
      <c r="D280" s="574">
        <v>0</v>
      </c>
      <c r="E280" s="615"/>
      <c r="F280" s="615"/>
      <c r="G280" s="615"/>
      <c r="H280" s="615"/>
      <c r="I280" s="615"/>
      <c r="J280" s="615"/>
      <c r="K280" s="1699">
        <f>D280</f>
        <v>0</v>
      </c>
      <c r="L280" s="574">
        <v>0</v>
      </c>
    </row>
    <row r="281" spans="1:12" ht="15.95" customHeight="1" thickTop="1" x14ac:dyDescent="0.2">
      <c r="A281" s="1634" t="s">
        <v>144</v>
      </c>
      <c r="B281" s="1635" t="s">
        <v>915</v>
      </c>
      <c r="C281" s="615"/>
      <c r="D281" s="564"/>
      <c r="E281" s="615"/>
      <c r="F281" s="615"/>
      <c r="G281" s="615"/>
      <c r="H281" s="615"/>
      <c r="I281" s="615"/>
      <c r="J281" s="615"/>
      <c r="K281" s="615"/>
      <c r="L281" s="615"/>
    </row>
    <row r="282" spans="1:12" ht="15.95" customHeight="1" x14ac:dyDescent="0.2">
      <c r="A282" s="1851" t="s">
        <v>517</v>
      </c>
      <c r="B282" s="689" t="s">
        <v>1954</v>
      </c>
      <c r="C282" s="615"/>
      <c r="D282" s="467">
        <v>0</v>
      </c>
      <c r="E282" s="615"/>
      <c r="F282" s="615"/>
      <c r="G282" s="615"/>
      <c r="H282" s="615"/>
      <c r="I282" s="615"/>
      <c r="J282" s="615"/>
      <c r="K282" s="1691">
        <f>D282</f>
        <v>0</v>
      </c>
      <c r="L282" s="467">
        <v>0</v>
      </c>
    </row>
    <row r="283" spans="1:12" x14ac:dyDescent="0.2">
      <c r="A283" s="1524" t="s">
        <v>322</v>
      </c>
      <c r="B283" s="613">
        <v>4120</v>
      </c>
      <c r="C283" s="615"/>
      <c r="D283" s="466">
        <v>0</v>
      </c>
      <c r="E283" s="615"/>
      <c r="F283" s="615"/>
      <c r="G283" s="615"/>
      <c r="H283" s="615"/>
      <c r="I283" s="615"/>
      <c r="J283" s="615"/>
      <c r="K283" s="1691">
        <f>D283</f>
        <v>0</v>
      </c>
      <c r="L283" s="466">
        <v>0</v>
      </c>
    </row>
    <row r="284" spans="1:12" x14ac:dyDescent="0.2">
      <c r="A284" s="1524" t="s">
        <v>721</v>
      </c>
      <c r="B284" s="613">
        <v>4140</v>
      </c>
      <c r="C284" s="615"/>
      <c r="D284" s="467">
        <v>0</v>
      </c>
      <c r="E284" s="615"/>
      <c r="F284" s="615"/>
      <c r="G284" s="615"/>
      <c r="H284" s="615"/>
      <c r="I284" s="615"/>
      <c r="J284" s="615"/>
      <c r="K284" s="1691">
        <f>D284</f>
        <v>0</v>
      </c>
      <c r="L284" s="466">
        <v>0</v>
      </c>
    </row>
    <row r="285" spans="1:12" ht="12.75" customHeight="1" thickBot="1" x14ac:dyDescent="0.25">
      <c r="A285" s="1688" t="s">
        <v>1567</v>
      </c>
      <c r="B285" s="1689" t="s">
        <v>915</v>
      </c>
      <c r="C285" s="615"/>
      <c r="D285" s="1690">
        <f>SUM(D282:D284)</f>
        <v>0</v>
      </c>
      <c r="E285" s="615"/>
      <c r="F285" s="615"/>
      <c r="G285" s="615"/>
      <c r="H285" s="615"/>
      <c r="I285" s="615"/>
      <c r="J285" s="615"/>
      <c r="K285" s="1690">
        <f>SUM(K282:K284)</f>
        <v>0</v>
      </c>
      <c r="L285" s="1690">
        <f>SUM(L282:L284)</f>
        <v>0</v>
      </c>
    </row>
    <row r="286" spans="1:12" ht="15.95" customHeight="1" thickTop="1" x14ac:dyDescent="0.2">
      <c r="A286" s="1632" t="s">
        <v>931</v>
      </c>
      <c r="B286" s="1629" t="s">
        <v>513</v>
      </c>
      <c r="C286" s="615"/>
      <c r="D286" s="615"/>
      <c r="E286" s="615"/>
      <c r="F286" s="615"/>
      <c r="G286" s="615"/>
      <c r="H286" s="615"/>
      <c r="I286" s="615"/>
      <c r="J286" s="615"/>
      <c r="K286" s="615"/>
      <c r="L286" s="615"/>
    </row>
    <row r="287" spans="1:12" ht="15.95" customHeight="1" x14ac:dyDescent="0.2">
      <c r="A287" s="652" t="s">
        <v>95</v>
      </c>
      <c r="B287" s="621"/>
      <c r="C287" s="615"/>
      <c r="D287" s="615"/>
      <c r="E287" s="615"/>
      <c r="F287" s="615"/>
      <c r="G287" s="615"/>
      <c r="H287" s="622"/>
      <c r="I287" s="615"/>
      <c r="J287" s="615"/>
      <c r="K287" s="615"/>
      <c r="L287" s="615"/>
    </row>
    <row r="288" spans="1:12" x14ac:dyDescent="0.2">
      <c r="A288" s="1524" t="s">
        <v>89</v>
      </c>
      <c r="B288" s="613">
        <v>5110</v>
      </c>
      <c r="C288" s="615"/>
      <c r="D288" s="615"/>
      <c r="E288" s="615"/>
      <c r="F288" s="615"/>
      <c r="G288" s="615"/>
      <c r="H288" s="466">
        <v>0</v>
      </c>
      <c r="I288" s="615"/>
      <c r="J288" s="615"/>
      <c r="K288" s="1691">
        <f>H288</f>
        <v>0</v>
      </c>
      <c r="L288" s="466">
        <v>0</v>
      </c>
    </row>
    <row r="289" spans="1:14" x14ac:dyDescent="0.2">
      <c r="A289" s="1524" t="s">
        <v>90</v>
      </c>
      <c r="B289" s="613">
        <v>5120</v>
      </c>
      <c r="C289" s="615"/>
      <c r="D289" s="615"/>
      <c r="E289" s="615"/>
      <c r="F289" s="615"/>
      <c r="G289" s="615"/>
      <c r="H289" s="466">
        <v>0</v>
      </c>
      <c r="I289" s="615"/>
      <c r="J289" s="615"/>
      <c r="K289" s="1691">
        <f>H289</f>
        <v>0</v>
      </c>
      <c r="L289" s="466">
        <v>0</v>
      </c>
    </row>
    <row r="290" spans="1:14" ht="12.75" customHeight="1" x14ac:dyDescent="0.2">
      <c r="A290" s="1524" t="s">
        <v>1232</v>
      </c>
      <c r="B290" s="627" t="s">
        <v>638</v>
      </c>
      <c r="C290" s="615"/>
      <c r="D290" s="615"/>
      <c r="E290" s="615"/>
      <c r="F290" s="615"/>
      <c r="G290" s="615"/>
      <c r="H290" s="466">
        <v>0</v>
      </c>
      <c r="I290" s="615"/>
      <c r="J290" s="615"/>
      <c r="K290" s="1691">
        <f>H290</f>
        <v>0</v>
      </c>
      <c r="L290" s="466">
        <v>0</v>
      </c>
    </row>
    <row r="291" spans="1:14" x14ac:dyDescent="0.2">
      <c r="A291" s="1524" t="s">
        <v>91</v>
      </c>
      <c r="B291" s="613" t="s">
        <v>610</v>
      </c>
      <c r="C291" s="615"/>
      <c r="D291" s="615"/>
      <c r="E291" s="615"/>
      <c r="F291" s="615"/>
      <c r="G291" s="615"/>
      <c r="H291" s="466">
        <v>0</v>
      </c>
      <c r="I291" s="615"/>
      <c r="J291" s="615"/>
      <c r="K291" s="1691">
        <f>H291</f>
        <v>0</v>
      </c>
      <c r="L291" s="466">
        <v>0</v>
      </c>
    </row>
    <row r="292" spans="1:14" x14ac:dyDescent="0.2">
      <c r="A292" s="1524" t="s">
        <v>786</v>
      </c>
      <c r="B292" s="613" t="s">
        <v>639</v>
      </c>
      <c r="C292" s="615"/>
      <c r="D292" s="615"/>
      <c r="E292" s="615"/>
      <c r="F292" s="615"/>
      <c r="G292" s="615"/>
      <c r="H292" s="466">
        <v>0</v>
      </c>
      <c r="I292" s="615"/>
      <c r="J292" s="615"/>
      <c r="K292" s="1691">
        <f>H292</f>
        <v>0</v>
      </c>
      <c r="L292" s="466">
        <v>0</v>
      </c>
    </row>
    <row r="293" spans="1:14" ht="12.75" customHeight="1" thickBot="1" x14ac:dyDescent="0.25">
      <c r="A293" s="1688" t="s">
        <v>505</v>
      </c>
      <c r="B293" s="1689" t="s">
        <v>513</v>
      </c>
      <c r="C293" s="615"/>
      <c r="D293" s="615"/>
      <c r="E293" s="615"/>
      <c r="F293" s="615"/>
      <c r="G293" s="615"/>
      <c r="H293" s="1690">
        <f>SUM(H288:H292)</f>
        <v>0</v>
      </c>
      <c r="I293" s="615"/>
      <c r="J293" s="615"/>
      <c r="K293" s="1690">
        <f>SUM(K288:K292)</f>
        <v>0</v>
      </c>
      <c r="L293" s="1690">
        <f>SUM(L288:L292)</f>
        <v>0</v>
      </c>
    </row>
    <row r="294" spans="1:14" ht="15.95" customHeight="1" thickTop="1" thickBot="1" x14ac:dyDescent="0.25">
      <c r="A294" s="1645" t="s">
        <v>932</v>
      </c>
      <c r="B294" s="1633" t="s">
        <v>916</v>
      </c>
      <c r="C294" s="615"/>
      <c r="D294" s="622"/>
      <c r="E294" s="615"/>
      <c r="F294" s="615"/>
      <c r="G294" s="615"/>
      <c r="H294" s="685"/>
      <c r="I294" s="615"/>
      <c r="J294" s="615"/>
      <c r="K294" s="685"/>
      <c r="L294" s="576">
        <v>0</v>
      </c>
    </row>
    <row r="295" spans="1:14" ht="12.75" customHeight="1" thickTop="1" thickBot="1" x14ac:dyDescent="0.25">
      <c r="A295" s="2317" t="s">
        <v>526</v>
      </c>
      <c r="B295" s="2318"/>
      <c r="C295" s="615"/>
      <c r="D295" s="1690">
        <f>SUM(D229,D279,D280,D285)</f>
        <v>0</v>
      </c>
      <c r="E295" s="615"/>
      <c r="F295" s="615"/>
      <c r="G295" s="615"/>
      <c r="H295" s="1690">
        <f>H293</f>
        <v>0</v>
      </c>
      <c r="I295" s="615"/>
      <c r="J295" s="615"/>
      <c r="K295" s="1690">
        <f>SUM(K229,K279,K280,K285,K293,K294)</f>
        <v>0</v>
      </c>
      <c r="L295" s="1690">
        <f>SUM(L229,L279,L280,L285,L293,L294)</f>
        <v>0</v>
      </c>
    </row>
    <row r="296" spans="1:14" ht="13.5" thickTop="1" x14ac:dyDescent="0.2">
      <c r="A296" s="2299" t="s">
        <v>1053</v>
      </c>
      <c r="B296" s="2300"/>
      <c r="C296" s="615"/>
      <c r="D296" s="617"/>
      <c r="E296" s="615"/>
      <c r="F296" s="615"/>
      <c r="G296" s="615"/>
      <c r="H296" s="686"/>
      <c r="I296" s="615"/>
      <c r="J296" s="615"/>
      <c r="K296" s="1704">
        <f>'Revenues 9-14'!G275-'Expenditures 15-22'!K295</f>
        <v>0</v>
      </c>
      <c r="L296" s="686"/>
    </row>
    <row r="297" spans="1:14" s="665" customFormat="1" ht="9.1999999999999993"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309" t="s">
        <v>145</v>
      </c>
      <c r="B298" s="2303"/>
      <c r="C298" s="1571"/>
      <c r="D298" s="1572"/>
      <c r="E298" s="1572"/>
      <c r="F298" s="1572"/>
      <c r="G298" s="1572"/>
      <c r="H298" s="1572"/>
      <c r="I298" s="1572"/>
      <c r="J298" s="1572"/>
      <c r="K298" s="1572"/>
      <c r="L298" s="1573"/>
    </row>
    <row r="299" spans="1:14" ht="15.95" customHeight="1" x14ac:dyDescent="0.2">
      <c r="A299" s="1632" t="s">
        <v>146</v>
      </c>
      <c r="B299" s="1635" t="s">
        <v>590</v>
      </c>
      <c r="C299" s="615"/>
      <c r="D299" s="615"/>
      <c r="E299" s="615"/>
      <c r="F299" s="615"/>
      <c r="G299" s="615"/>
      <c r="H299" s="615"/>
      <c r="I299" s="615"/>
      <c r="J299" s="615"/>
      <c r="K299" s="615"/>
      <c r="L299" s="615"/>
    </row>
    <row r="300" spans="1:14" ht="15.95" customHeight="1" x14ac:dyDescent="0.2">
      <c r="A300" s="687" t="s">
        <v>633</v>
      </c>
      <c r="B300" s="630"/>
      <c r="C300" s="622"/>
      <c r="D300" s="622"/>
      <c r="E300" s="622"/>
      <c r="F300" s="622"/>
      <c r="G300" s="622"/>
      <c r="H300" s="622"/>
      <c r="I300" s="615"/>
      <c r="J300" s="615"/>
      <c r="K300" s="622"/>
      <c r="L300" s="622"/>
    </row>
    <row r="301" spans="1:14" x14ac:dyDescent="0.2">
      <c r="A301" s="1537" t="s">
        <v>629</v>
      </c>
      <c r="B301" s="688">
        <v>2530</v>
      </c>
      <c r="C301" s="466">
        <v>0</v>
      </c>
      <c r="D301" s="466">
        <v>0</v>
      </c>
      <c r="E301" s="466">
        <v>0</v>
      </c>
      <c r="F301" s="466">
        <v>0</v>
      </c>
      <c r="G301" s="466">
        <v>0</v>
      </c>
      <c r="H301" s="466">
        <v>0</v>
      </c>
      <c r="I301" s="467">
        <v>0</v>
      </c>
      <c r="J301" s="467">
        <v>0</v>
      </c>
      <c r="K301" s="1691">
        <f>SUM(C301:J301)</f>
        <v>0</v>
      </c>
      <c r="L301" s="467">
        <v>0</v>
      </c>
    </row>
    <row r="302" spans="1:14" ht="13.5" customHeight="1" x14ac:dyDescent="0.2">
      <c r="A302" s="1537" t="s">
        <v>1037</v>
      </c>
      <c r="B302" s="613" t="s">
        <v>595</v>
      </c>
      <c r="C302" s="466">
        <v>0</v>
      </c>
      <c r="D302" s="466">
        <v>0</v>
      </c>
      <c r="E302" s="466">
        <v>0</v>
      </c>
      <c r="F302" s="466">
        <v>0</v>
      </c>
      <c r="G302" s="466">
        <v>0</v>
      </c>
      <c r="H302" s="466">
        <v>0</v>
      </c>
      <c r="I302" s="467">
        <v>0</v>
      </c>
      <c r="J302" s="467">
        <v>0</v>
      </c>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0</v>
      </c>
      <c r="H303" s="1697">
        <f t="shared" si="23"/>
        <v>0</v>
      </c>
      <c r="I303" s="1697">
        <f t="shared" si="23"/>
        <v>0</v>
      </c>
      <c r="J303" s="1697">
        <f t="shared" si="23"/>
        <v>0</v>
      </c>
      <c r="K303" s="1697">
        <f t="shared" si="23"/>
        <v>0</v>
      </c>
      <c r="L303" s="1697">
        <f t="shared" si="23"/>
        <v>0</v>
      </c>
    </row>
    <row r="304" spans="1:14" ht="15.95" customHeight="1" thickTop="1" x14ac:dyDescent="0.2">
      <c r="A304" s="1632" t="s">
        <v>147</v>
      </c>
      <c r="B304" s="1633" t="s">
        <v>915</v>
      </c>
      <c r="C304" s="615"/>
      <c r="D304" s="615"/>
      <c r="E304" s="615"/>
      <c r="F304" s="615"/>
      <c r="G304" s="615"/>
      <c r="H304" s="615"/>
      <c r="I304" s="615"/>
      <c r="J304" s="615"/>
      <c r="K304" s="615"/>
      <c r="L304" s="615"/>
    </row>
    <row r="305" spans="1:14" ht="15.95" customHeight="1" x14ac:dyDescent="0.2">
      <c r="A305" s="652" t="s">
        <v>953</v>
      </c>
      <c r="B305" s="621"/>
      <c r="C305" s="615"/>
      <c r="D305" s="615"/>
      <c r="E305" s="615"/>
      <c r="F305" s="615"/>
      <c r="G305" s="615"/>
      <c r="H305" s="615"/>
      <c r="I305" s="615"/>
      <c r="J305" s="615"/>
      <c r="K305" s="615"/>
      <c r="L305" s="615"/>
    </row>
    <row r="306" spans="1:14" x14ac:dyDescent="0.2">
      <c r="A306" s="1538" t="s">
        <v>1959</v>
      </c>
      <c r="B306" s="689" t="s">
        <v>1954</v>
      </c>
      <c r="C306" s="615"/>
      <c r="D306" s="615"/>
      <c r="E306" s="467">
        <v>0</v>
      </c>
      <c r="F306" s="615"/>
      <c r="G306" s="615"/>
      <c r="H306" s="467">
        <v>0</v>
      </c>
      <c r="I306" s="615"/>
      <c r="J306" s="615"/>
      <c r="K306" s="1691">
        <f>SUM(E306,H306)</f>
        <v>0</v>
      </c>
      <c r="L306" s="467">
        <v>0</v>
      </c>
    </row>
    <row r="307" spans="1:14" x14ac:dyDescent="0.2">
      <c r="A307" s="1524" t="s">
        <v>322</v>
      </c>
      <c r="B307" s="613">
        <v>4120</v>
      </c>
      <c r="C307" s="615"/>
      <c r="D307" s="615"/>
      <c r="E307" s="467">
        <v>0</v>
      </c>
      <c r="F307" s="615"/>
      <c r="G307" s="615"/>
      <c r="H307" s="467">
        <v>0</v>
      </c>
      <c r="I307" s="476"/>
      <c r="J307" s="615"/>
      <c r="K307" s="1691">
        <f>SUM(E307,H307)</f>
        <v>0</v>
      </c>
      <c r="L307" s="466">
        <v>0</v>
      </c>
    </row>
    <row r="308" spans="1:14" x14ac:dyDescent="0.2">
      <c r="A308" s="1524" t="s">
        <v>721</v>
      </c>
      <c r="B308" s="613">
        <v>4140</v>
      </c>
      <c r="C308" s="615"/>
      <c r="D308" s="615"/>
      <c r="E308" s="467">
        <v>0</v>
      </c>
      <c r="F308" s="615"/>
      <c r="G308" s="615"/>
      <c r="H308" s="467">
        <v>0</v>
      </c>
      <c r="I308" s="476"/>
      <c r="J308" s="615"/>
      <c r="K308" s="1691">
        <f>SUM(E308,H308)</f>
        <v>0</v>
      </c>
      <c r="L308" s="466">
        <v>0</v>
      </c>
    </row>
    <row r="309" spans="1:14" ht="12.75" customHeight="1" x14ac:dyDescent="0.2">
      <c r="A309" s="1528" t="s">
        <v>722</v>
      </c>
      <c r="B309" s="627">
        <v>4190</v>
      </c>
      <c r="C309" s="615"/>
      <c r="D309" s="615"/>
      <c r="E309" s="467">
        <v>0</v>
      </c>
      <c r="F309" s="615"/>
      <c r="G309" s="615"/>
      <c r="H309" s="467">
        <v>0</v>
      </c>
      <c r="I309" s="476"/>
      <c r="J309" s="615"/>
      <c r="K309" s="1691">
        <f>SUM(E309,H309)</f>
        <v>0</v>
      </c>
      <c r="L309" s="466">
        <v>0</v>
      </c>
    </row>
    <row r="310" spans="1:14" ht="12.75" customHeight="1" thickBot="1" x14ac:dyDescent="0.25">
      <c r="A310" s="1688" t="s">
        <v>1567</v>
      </c>
      <c r="B310" s="1695" t="s">
        <v>915</v>
      </c>
      <c r="C310" s="615"/>
      <c r="D310" s="615"/>
      <c r="E310" s="1690">
        <f>SUM(E306:E309)</f>
        <v>0</v>
      </c>
      <c r="F310" s="615"/>
      <c r="G310" s="615"/>
      <c r="H310" s="1690">
        <f>SUM(H306:H309)</f>
        <v>0</v>
      </c>
      <c r="I310" s="476"/>
      <c r="J310" s="615"/>
      <c r="K310" s="1690">
        <f>SUM(K306:K309)</f>
        <v>0</v>
      </c>
      <c r="L310" s="1697">
        <f>SUM(L306:L309)</f>
        <v>0</v>
      </c>
    </row>
    <row r="311" spans="1:14" ht="15.95" customHeight="1" thickTop="1" thickBot="1" x14ac:dyDescent="0.25">
      <c r="A311" s="1639" t="s">
        <v>951</v>
      </c>
      <c r="B311" s="1631" t="s">
        <v>916</v>
      </c>
      <c r="C311" s="622"/>
      <c r="D311" s="622"/>
      <c r="E311" s="622"/>
      <c r="F311" s="622"/>
      <c r="G311" s="622"/>
      <c r="H311" s="622"/>
      <c r="I311" s="622"/>
      <c r="J311" s="615"/>
      <c r="K311" s="622"/>
      <c r="L311" s="574">
        <v>0</v>
      </c>
    </row>
    <row r="312" spans="1:14" s="673" customFormat="1" ht="12.75" customHeight="1" thickTop="1" thickBot="1" x14ac:dyDescent="0.25">
      <c r="A312" s="2314" t="s">
        <v>295</v>
      </c>
      <c r="B312" s="2315"/>
      <c r="C312" s="1690">
        <f>SUM(C303)</f>
        <v>0</v>
      </c>
      <c r="D312" s="1690">
        <f>SUM(D303)</f>
        <v>0</v>
      </c>
      <c r="E312" s="1690">
        <f>SUM(E303,E310)</f>
        <v>0</v>
      </c>
      <c r="F312" s="1690">
        <f>SUM(F303)</f>
        <v>0</v>
      </c>
      <c r="G312" s="1690">
        <f>SUM(G303)</f>
        <v>0</v>
      </c>
      <c r="H312" s="1690">
        <f>SUM(H303,H310)</f>
        <v>0</v>
      </c>
      <c r="I312" s="1690">
        <f>SUM(I303)</f>
        <v>0</v>
      </c>
      <c r="J312" s="1690">
        <f>SUM(J303)</f>
        <v>0</v>
      </c>
      <c r="K312" s="1690">
        <f>SUM(K303,K310,K311)</f>
        <v>0</v>
      </c>
      <c r="L312" s="1690">
        <f>SUM(L303,L310,L311)</f>
        <v>0</v>
      </c>
      <c r="M312" s="664"/>
      <c r="N312" s="664"/>
    </row>
    <row r="313" spans="1:14" ht="13.5" thickTop="1" x14ac:dyDescent="0.2">
      <c r="A313" s="2310" t="s">
        <v>1053</v>
      </c>
      <c r="B313" s="2311"/>
      <c r="C313" s="625"/>
      <c r="D313" s="625"/>
      <c r="E313" s="625"/>
      <c r="F313" s="625"/>
      <c r="G313" s="625"/>
      <c r="H313" s="625"/>
      <c r="I313" s="625"/>
      <c r="J313" s="625"/>
      <c r="K313" s="1705">
        <f>'Revenues 9-14'!H275-'Expenditures 15-22'!K312</f>
        <v>0</v>
      </c>
      <c r="L313" s="625"/>
    </row>
    <row r="314" spans="1:14" s="665" customFormat="1" ht="9.1999999999999993"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323" t="s">
        <v>151</v>
      </c>
      <c r="B315" s="2324"/>
      <c r="C315" s="1576"/>
      <c r="D315" s="1577"/>
      <c r="E315" s="1577"/>
      <c r="F315" s="1577"/>
      <c r="G315" s="1577"/>
      <c r="H315" s="1577"/>
      <c r="I315" s="1577"/>
      <c r="J315" s="1577"/>
      <c r="K315" s="1577"/>
      <c r="L315" s="1578"/>
    </row>
    <row r="316" spans="1:14" s="673" customFormat="1" ht="9.1999999999999993"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325" t="s">
        <v>954</v>
      </c>
      <c r="B317" s="2324"/>
      <c r="C317" s="1576"/>
      <c r="D317" s="1577"/>
      <c r="E317" s="1577"/>
      <c r="F317" s="1577"/>
      <c r="G317" s="1577"/>
      <c r="H317" s="1577"/>
      <c r="I317" s="1577"/>
      <c r="J317" s="1577"/>
      <c r="K317" s="1577"/>
      <c r="L317" s="1578"/>
    </row>
    <row r="318" spans="1:14" s="673" customFormat="1" ht="15.9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9" t="s">
        <v>317</v>
      </c>
      <c r="B319" s="696" t="s">
        <v>299</v>
      </c>
      <c r="C319" s="467">
        <v>0</v>
      </c>
      <c r="D319" s="467">
        <v>0</v>
      </c>
      <c r="E319" s="467">
        <v>0</v>
      </c>
      <c r="F319" s="467">
        <v>0</v>
      </c>
      <c r="G319" s="467">
        <v>0</v>
      </c>
      <c r="H319" s="467">
        <v>0</v>
      </c>
      <c r="I319" s="467">
        <v>0</v>
      </c>
      <c r="J319" s="467">
        <v>0</v>
      </c>
      <c r="K319" s="1691">
        <f>SUM(C319:J319)</f>
        <v>0</v>
      </c>
      <c r="L319" s="467">
        <v>0</v>
      </c>
      <c r="M319" s="664"/>
      <c r="N319" s="664"/>
    </row>
    <row r="320" spans="1:14" s="673" customFormat="1" x14ac:dyDescent="0.2">
      <c r="A320" s="1543" t="s">
        <v>1905</v>
      </c>
      <c r="B320" s="697" t="s">
        <v>300</v>
      </c>
      <c r="C320" s="467">
        <v>0</v>
      </c>
      <c r="D320" s="467">
        <v>0</v>
      </c>
      <c r="E320" s="467">
        <v>22572</v>
      </c>
      <c r="F320" s="467">
        <v>0</v>
      </c>
      <c r="G320" s="467">
        <v>0</v>
      </c>
      <c r="H320" s="467">
        <v>0</v>
      </c>
      <c r="I320" s="467">
        <v>0</v>
      </c>
      <c r="J320" s="467">
        <v>0</v>
      </c>
      <c r="K320" s="1691">
        <f t="shared" ref="K320:K327" si="24">SUM(C320:J320)</f>
        <v>22572</v>
      </c>
      <c r="L320" s="467">
        <v>23000</v>
      </c>
      <c r="M320" s="664"/>
      <c r="N320" s="664"/>
    </row>
    <row r="321" spans="1:14" s="673" customFormat="1" x14ac:dyDescent="0.2">
      <c r="A321" s="1539" t="s">
        <v>318</v>
      </c>
      <c r="B321" s="696" t="s">
        <v>301</v>
      </c>
      <c r="C321" s="467">
        <v>0</v>
      </c>
      <c r="D321" s="467">
        <v>0</v>
      </c>
      <c r="E321" s="467">
        <v>977</v>
      </c>
      <c r="F321" s="467">
        <v>0</v>
      </c>
      <c r="G321" s="467">
        <v>0</v>
      </c>
      <c r="H321" s="467">
        <v>0</v>
      </c>
      <c r="I321" s="467">
        <v>0</v>
      </c>
      <c r="J321" s="467">
        <v>0</v>
      </c>
      <c r="K321" s="1691">
        <f t="shared" si="24"/>
        <v>977</v>
      </c>
      <c r="L321" s="467">
        <v>1000</v>
      </c>
      <c r="M321" s="664"/>
      <c r="N321" s="664"/>
    </row>
    <row r="322" spans="1:14" s="673" customFormat="1" x14ac:dyDescent="0.2">
      <c r="A322" s="1539" t="s">
        <v>256</v>
      </c>
      <c r="B322" s="696" t="s">
        <v>302</v>
      </c>
      <c r="C322" s="467">
        <v>0</v>
      </c>
      <c r="D322" s="467">
        <v>0</v>
      </c>
      <c r="E322" s="467">
        <v>8772</v>
      </c>
      <c r="F322" s="467">
        <v>0</v>
      </c>
      <c r="G322" s="467">
        <v>0</v>
      </c>
      <c r="H322" s="467">
        <v>0</v>
      </c>
      <c r="I322" s="467">
        <v>0</v>
      </c>
      <c r="J322" s="467">
        <v>0</v>
      </c>
      <c r="K322" s="1691">
        <f t="shared" si="24"/>
        <v>8772</v>
      </c>
      <c r="L322" s="467">
        <v>9000</v>
      </c>
      <c r="M322" s="664"/>
      <c r="N322" s="664"/>
    </row>
    <row r="323" spans="1:14" s="673" customFormat="1" x14ac:dyDescent="0.2">
      <c r="A323" s="1539" t="s">
        <v>726</v>
      </c>
      <c r="B323" s="696" t="s">
        <v>303</v>
      </c>
      <c r="C323" s="467">
        <v>0</v>
      </c>
      <c r="D323" s="467">
        <v>0</v>
      </c>
      <c r="E323" s="467">
        <v>0</v>
      </c>
      <c r="F323" s="467">
        <v>0</v>
      </c>
      <c r="G323" s="467">
        <v>0</v>
      </c>
      <c r="H323" s="467">
        <v>0</v>
      </c>
      <c r="I323" s="467">
        <v>0</v>
      </c>
      <c r="J323" s="467">
        <v>0</v>
      </c>
      <c r="K323" s="1691">
        <f t="shared" si="24"/>
        <v>0</v>
      </c>
      <c r="L323" s="467">
        <v>0</v>
      </c>
      <c r="M323" s="664"/>
      <c r="N323" s="664"/>
    </row>
    <row r="324" spans="1:14" s="673" customFormat="1" x14ac:dyDescent="0.2">
      <c r="A324" s="1539" t="s">
        <v>257</v>
      </c>
      <c r="B324" s="696" t="s">
        <v>304</v>
      </c>
      <c r="C324" s="467">
        <v>0</v>
      </c>
      <c r="D324" s="467">
        <v>0</v>
      </c>
      <c r="E324" s="467">
        <v>0</v>
      </c>
      <c r="F324" s="467">
        <v>0</v>
      </c>
      <c r="G324" s="467">
        <v>0</v>
      </c>
      <c r="H324" s="467">
        <v>0</v>
      </c>
      <c r="I324" s="467">
        <v>0</v>
      </c>
      <c r="J324" s="467">
        <v>0</v>
      </c>
      <c r="K324" s="1691">
        <f t="shared" si="24"/>
        <v>0</v>
      </c>
      <c r="L324" s="467">
        <v>0</v>
      </c>
      <c r="M324" s="664"/>
      <c r="N324" s="664"/>
    </row>
    <row r="325" spans="1:14" s="673" customFormat="1" ht="22.5" x14ac:dyDescent="0.2">
      <c r="A325" s="1539" t="s">
        <v>1087</v>
      </c>
      <c r="B325" s="697" t="s">
        <v>305</v>
      </c>
      <c r="C325" s="467">
        <v>0</v>
      </c>
      <c r="D325" s="467">
        <v>0</v>
      </c>
      <c r="E325" s="467">
        <v>18365</v>
      </c>
      <c r="F325" s="467">
        <v>0</v>
      </c>
      <c r="G325" s="467">
        <v>0</v>
      </c>
      <c r="H325" s="467">
        <v>0</v>
      </c>
      <c r="I325" s="467">
        <v>0</v>
      </c>
      <c r="J325" s="467">
        <v>0</v>
      </c>
      <c r="K325" s="1691">
        <f t="shared" si="24"/>
        <v>18365</v>
      </c>
      <c r="L325" s="467">
        <v>20000</v>
      </c>
      <c r="M325" s="664"/>
      <c r="N325" s="664"/>
    </row>
    <row r="326" spans="1:14" s="673" customFormat="1" x14ac:dyDescent="0.2">
      <c r="A326" s="1539" t="s">
        <v>1088</v>
      </c>
      <c r="B326" s="696" t="s">
        <v>306</v>
      </c>
      <c r="C326" s="467">
        <v>0</v>
      </c>
      <c r="D326" s="467">
        <v>0</v>
      </c>
      <c r="E326" s="467">
        <v>0</v>
      </c>
      <c r="F326" s="467">
        <v>0</v>
      </c>
      <c r="G326" s="467">
        <v>0</v>
      </c>
      <c r="H326" s="467">
        <v>0</v>
      </c>
      <c r="I326" s="467">
        <v>0</v>
      </c>
      <c r="J326" s="467">
        <v>0</v>
      </c>
      <c r="K326" s="1691">
        <f t="shared" si="24"/>
        <v>0</v>
      </c>
      <c r="L326" s="467">
        <v>0</v>
      </c>
      <c r="M326" s="664"/>
      <c r="N326" s="664"/>
    </row>
    <row r="327" spans="1:14" s="673" customFormat="1" x14ac:dyDescent="0.2">
      <c r="A327" s="1539" t="s">
        <v>1028</v>
      </c>
      <c r="B327" s="696" t="s">
        <v>307</v>
      </c>
      <c r="C327" s="467">
        <v>0</v>
      </c>
      <c r="D327" s="467">
        <v>0</v>
      </c>
      <c r="E327" s="467">
        <v>2894</v>
      </c>
      <c r="F327" s="467">
        <v>0</v>
      </c>
      <c r="G327" s="467">
        <v>0</v>
      </c>
      <c r="H327" s="467">
        <v>0</v>
      </c>
      <c r="I327" s="467">
        <v>0</v>
      </c>
      <c r="J327" s="467">
        <v>0</v>
      </c>
      <c r="K327" s="1691">
        <f t="shared" si="24"/>
        <v>2894</v>
      </c>
      <c r="L327" s="467">
        <v>3000</v>
      </c>
      <c r="M327" s="664"/>
      <c r="N327" s="664"/>
    </row>
    <row r="328" spans="1:14" s="673" customFormat="1" x14ac:dyDescent="0.2">
      <c r="A328" s="1540" t="s">
        <v>492</v>
      </c>
      <c r="B328" s="689" t="s">
        <v>1194</v>
      </c>
      <c r="C328" s="474">
        <v>0</v>
      </c>
      <c r="D328" s="474">
        <v>0</v>
      </c>
      <c r="E328" s="474">
        <v>0</v>
      </c>
      <c r="F328" s="474">
        <v>0</v>
      </c>
      <c r="G328" s="474">
        <v>0</v>
      </c>
      <c r="H328" s="474">
        <v>0</v>
      </c>
      <c r="I328" s="474">
        <v>0</v>
      </c>
      <c r="J328" s="474">
        <v>0</v>
      </c>
      <c r="K328" s="1719">
        <f>SUM(C328:J328)</f>
        <v>0</v>
      </c>
      <c r="L328" s="474">
        <v>0</v>
      </c>
      <c r="M328" s="664"/>
      <c r="N328" s="664"/>
    </row>
    <row r="329" spans="1:14" s="673" customFormat="1" x14ac:dyDescent="0.2">
      <c r="A329" s="1540" t="s">
        <v>1195</v>
      </c>
      <c r="B329" s="689" t="s">
        <v>1196</v>
      </c>
      <c r="C329" s="474">
        <v>0</v>
      </c>
      <c r="D329" s="474">
        <v>0</v>
      </c>
      <c r="E329" s="474">
        <v>0</v>
      </c>
      <c r="F329" s="474">
        <v>0</v>
      </c>
      <c r="G329" s="474">
        <v>0</v>
      </c>
      <c r="H329" s="474">
        <v>0</v>
      </c>
      <c r="I329" s="474">
        <v>0</v>
      </c>
      <c r="J329" s="474">
        <v>0</v>
      </c>
      <c r="K329" s="1719">
        <f>SUM(C329:J329)</f>
        <v>0</v>
      </c>
      <c r="L329" s="474">
        <v>0</v>
      </c>
      <c r="M329" s="664"/>
      <c r="N329" s="664"/>
    </row>
    <row r="330" spans="1:14" s="673" customFormat="1" ht="12.75" customHeight="1" thickBot="1" x14ac:dyDescent="0.25">
      <c r="A330" s="1720" t="s">
        <v>741</v>
      </c>
      <c r="B330" s="1689" t="s">
        <v>590</v>
      </c>
      <c r="C330" s="1690">
        <f>SUM(C319:C329)</f>
        <v>0</v>
      </c>
      <c r="D330" s="1690">
        <f t="shared" ref="D330:J330" si="25">SUM(D319:D329)</f>
        <v>0</v>
      </c>
      <c r="E330" s="1690">
        <f t="shared" si="25"/>
        <v>53580</v>
      </c>
      <c r="F330" s="1690">
        <f t="shared" si="25"/>
        <v>0</v>
      </c>
      <c r="G330" s="1690">
        <f t="shared" si="25"/>
        <v>0</v>
      </c>
      <c r="H330" s="1690">
        <f t="shared" si="25"/>
        <v>0</v>
      </c>
      <c r="I330" s="1690">
        <f t="shared" si="25"/>
        <v>0</v>
      </c>
      <c r="J330" s="1690">
        <f t="shared" si="25"/>
        <v>0</v>
      </c>
      <c r="K330" s="1690">
        <f>SUM(K319:K329)</f>
        <v>53580</v>
      </c>
      <c r="L330" s="1690">
        <f>SUM(L319:L329)</f>
        <v>56000</v>
      </c>
      <c r="M330" s="664"/>
      <c r="N330" s="664"/>
    </row>
    <row r="331" spans="1:14" s="673" customFormat="1" ht="12.75" customHeight="1" thickTop="1" x14ac:dyDescent="0.2">
      <c r="A331" s="1852" t="s">
        <v>1960</v>
      </c>
      <c r="B331" s="646" t="s">
        <v>915</v>
      </c>
      <c r="C331" s="1854"/>
      <c r="D331" s="1854"/>
      <c r="E331" s="1854"/>
      <c r="F331" s="1854"/>
      <c r="G331" s="1854"/>
      <c r="H331" s="1854"/>
      <c r="I331" s="1854"/>
      <c r="J331" s="1854"/>
      <c r="K331" s="1854"/>
      <c r="L331" s="1854"/>
      <c r="M331" s="664"/>
      <c r="N331" s="664"/>
    </row>
    <row r="332" spans="1:14" s="673" customFormat="1" ht="12.75" customHeight="1" x14ac:dyDescent="0.2">
      <c r="A332" s="1853" t="s">
        <v>517</v>
      </c>
      <c r="B332" s="1848" t="s">
        <v>1954</v>
      </c>
      <c r="C332" s="1854"/>
      <c r="D332" s="1854"/>
      <c r="E332" s="1854"/>
      <c r="F332" s="1854"/>
      <c r="G332" s="1854"/>
      <c r="H332" s="467">
        <v>0</v>
      </c>
      <c r="I332" s="1854"/>
      <c r="J332" s="1854"/>
      <c r="K332" s="1691">
        <f>H332</f>
        <v>0</v>
      </c>
      <c r="L332" s="467">
        <v>0</v>
      </c>
      <c r="M332" s="664"/>
      <c r="N332" s="664"/>
    </row>
    <row r="333" spans="1:14" s="673" customFormat="1" ht="12.75" customHeight="1" x14ac:dyDescent="0.2">
      <c r="A333" s="1853" t="s">
        <v>322</v>
      </c>
      <c r="B333" s="1848" t="s">
        <v>1956</v>
      </c>
      <c r="C333" s="1854"/>
      <c r="D333" s="1854"/>
      <c r="E333" s="1854"/>
      <c r="F333" s="1854"/>
      <c r="G333" s="1854"/>
      <c r="H333" s="467">
        <v>0</v>
      </c>
      <c r="I333" s="1854"/>
      <c r="J333" s="1854"/>
      <c r="K333" s="1691">
        <f>H333</f>
        <v>0</v>
      </c>
      <c r="L333" s="467">
        <v>0</v>
      </c>
      <c r="M333" s="664"/>
      <c r="N333" s="664"/>
    </row>
    <row r="334" spans="1:14" s="673" customFormat="1" ht="12.75" customHeight="1" thickBot="1" x14ac:dyDescent="0.25">
      <c r="A334" s="1853" t="s">
        <v>1961</v>
      </c>
      <c r="B334" s="1848" t="s">
        <v>915</v>
      </c>
      <c r="C334" s="1854"/>
      <c r="D334" s="1854"/>
      <c r="E334" s="1854"/>
      <c r="F334" s="1854"/>
      <c r="G334" s="1854"/>
      <c r="H334" s="1690">
        <f>SUM(H332:H333)</f>
        <v>0</v>
      </c>
      <c r="I334" s="1854"/>
      <c r="J334" s="1854"/>
      <c r="K334" s="1690">
        <f>SUM(K332:K333)</f>
        <v>0</v>
      </c>
      <c r="L334" s="1690">
        <f>SUM(L332:L333)</f>
        <v>0</v>
      </c>
      <c r="M334" s="664"/>
      <c r="N334" s="664"/>
    </row>
    <row r="335" spans="1:14" ht="15.95" customHeight="1" thickTop="1" x14ac:dyDescent="0.2">
      <c r="A335" s="1636" t="s">
        <v>955</v>
      </c>
      <c r="B335" s="1627" t="s">
        <v>513</v>
      </c>
      <c r="C335" s="615"/>
      <c r="D335" s="615"/>
      <c r="E335" s="615"/>
      <c r="F335" s="615"/>
      <c r="G335" s="615"/>
      <c r="H335" s="615"/>
      <c r="I335" s="615"/>
      <c r="J335" s="615"/>
      <c r="K335" s="615"/>
      <c r="L335" s="615"/>
    </row>
    <row r="336" spans="1:14" ht="15.95" customHeight="1" x14ac:dyDescent="0.2">
      <c r="A336" s="652" t="s">
        <v>636</v>
      </c>
      <c r="B336" s="621"/>
      <c r="C336" s="615"/>
      <c r="D336" s="615"/>
      <c r="E336" s="615"/>
      <c r="F336" s="615"/>
      <c r="G336" s="615"/>
      <c r="H336" s="622"/>
      <c r="I336" s="615"/>
      <c r="J336" s="615"/>
      <c r="K336" s="622"/>
      <c r="L336" s="622"/>
    </row>
    <row r="337" spans="1:14" x14ac:dyDescent="0.2">
      <c r="A337" s="1538" t="s">
        <v>89</v>
      </c>
      <c r="B337" s="689" t="s">
        <v>956</v>
      </c>
      <c r="C337" s="637"/>
      <c r="D337" s="637"/>
      <c r="E337" s="637"/>
      <c r="F337" s="637"/>
      <c r="G337" s="637"/>
      <c r="H337" s="477">
        <v>0</v>
      </c>
      <c r="I337" s="637"/>
      <c r="J337" s="637"/>
      <c r="K337" s="1691">
        <f>H337</f>
        <v>0</v>
      </c>
      <c r="L337" s="477">
        <v>0</v>
      </c>
    </row>
    <row r="338" spans="1:14" ht="12.75" customHeight="1" x14ac:dyDescent="0.2">
      <c r="A338" s="1538" t="s">
        <v>1232</v>
      </c>
      <c r="B338" s="689" t="s">
        <v>638</v>
      </c>
      <c r="C338" s="637"/>
      <c r="D338" s="637"/>
      <c r="E338" s="637"/>
      <c r="F338" s="637"/>
      <c r="G338" s="637"/>
      <c r="H338" s="477">
        <v>0</v>
      </c>
      <c r="I338" s="637"/>
      <c r="J338" s="637"/>
      <c r="K338" s="1691">
        <f>H338</f>
        <v>0</v>
      </c>
      <c r="L338" s="477">
        <v>0</v>
      </c>
    </row>
    <row r="339" spans="1:14" x14ac:dyDescent="0.2">
      <c r="A339" s="1524" t="s">
        <v>957</v>
      </c>
      <c r="B339" s="627">
        <v>5150</v>
      </c>
      <c r="C339" s="637"/>
      <c r="D339" s="637"/>
      <c r="E339" s="637"/>
      <c r="F339" s="637"/>
      <c r="G339" s="637"/>
      <c r="H339" s="467">
        <v>0</v>
      </c>
      <c r="I339" s="637"/>
      <c r="J339" s="637"/>
      <c r="K339" s="1691">
        <f>H339</f>
        <v>0</v>
      </c>
      <c r="L339" s="467">
        <v>0</v>
      </c>
    </row>
    <row r="340" spans="1:14" ht="13.5" thickBot="1" x14ac:dyDescent="0.25">
      <c r="A340" s="1714" t="s">
        <v>958</v>
      </c>
      <c r="B340" s="1689" t="s">
        <v>513</v>
      </c>
      <c r="C340" s="615"/>
      <c r="D340" s="615"/>
      <c r="E340" s="615"/>
      <c r="F340" s="615"/>
      <c r="G340" s="615"/>
      <c r="H340" s="1708">
        <f>SUM(H337:H339)</f>
        <v>0</v>
      </c>
      <c r="I340" s="615"/>
      <c r="J340" s="615"/>
      <c r="K340" s="1708">
        <f>SUM(K337:K339)</f>
        <v>0</v>
      </c>
      <c r="L340" s="1708">
        <f>SUM(L337:L339)</f>
        <v>0</v>
      </c>
    </row>
    <row r="341" spans="1:14" ht="15.95" customHeight="1" thickTop="1" thickBot="1" x14ac:dyDescent="0.25">
      <c r="A341" s="1639" t="s">
        <v>959</v>
      </c>
      <c r="B341" s="1631" t="s">
        <v>916</v>
      </c>
      <c r="C341" s="615"/>
      <c r="D341" s="615"/>
      <c r="E341" s="476"/>
      <c r="F341" s="468"/>
      <c r="G341" s="468"/>
      <c r="H341" s="476"/>
      <c r="I341" s="476"/>
      <c r="J341" s="468"/>
      <c r="K341" s="476"/>
      <c r="L341" s="574">
        <v>0</v>
      </c>
    </row>
    <row r="342" spans="1:14" ht="12.75" customHeight="1" thickTop="1" thickBot="1" x14ac:dyDescent="0.25">
      <c r="A342" s="1706" t="s">
        <v>526</v>
      </c>
      <c r="B342" s="1721"/>
      <c r="C342" s="1690">
        <f>SUM(C330)</f>
        <v>0</v>
      </c>
      <c r="D342" s="1690">
        <f>SUM(D330)</f>
        <v>0</v>
      </c>
      <c r="E342" s="1690">
        <f>SUM(E330)</f>
        <v>53580</v>
      </c>
      <c r="F342" s="1690">
        <f>SUM(F330)</f>
        <v>0</v>
      </c>
      <c r="G342" s="1690">
        <f>SUM(G330)</f>
        <v>0</v>
      </c>
      <c r="H342" s="1690">
        <f>SUM(H330,H334,H340)</f>
        <v>0</v>
      </c>
      <c r="I342" s="1690">
        <f>SUM(I330)</f>
        <v>0</v>
      </c>
      <c r="J342" s="1690">
        <f>SUM(J330)</f>
        <v>0</v>
      </c>
      <c r="K342" s="1690">
        <f>SUM(K330,K334,K340)</f>
        <v>53580</v>
      </c>
      <c r="L342" s="1697">
        <f>SUM(L330,L340,L341)</f>
        <v>56000</v>
      </c>
    </row>
    <row r="343" spans="1:14" ht="12.75" customHeight="1" thickTop="1" x14ac:dyDescent="0.2">
      <c r="A343" s="2312" t="s">
        <v>1053</v>
      </c>
      <c r="B343" s="2313"/>
      <c r="C343" s="615"/>
      <c r="D343" s="615"/>
      <c r="E343" s="615"/>
      <c r="F343" s="615"/>
      <c r="G343" s="615"/>
      <c r="H343" s="615"/>
      <c r="I343" s="615"/>
      <c r="J343" s="615"/>
      <c r="K343" s="1704">
        <f>'Revenues 9-14'!J275-'Expenditures 15-22'!K342</f>
        <v>18633</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302" t="s">
        <v>1023</v>
      </c>
      <c r="B345" s="2303"/>
      <c r="C345" s="1571"/>
      <c r="D345" s="1572"/>
      <c r="E345" s="1572"/>
      <c r="F345" s="1572"/>
      <c r="G345" s="1572"/>
      <c r="H345" s="1572"/>
      <c r="I345" s="1572"/>
      <c r="J345" s="1572"/>
      <c r="K345" s="1572"/>
      <c r="L345" s="1573"/>
      <c r="M345" s="666"/>
      <c r="N345" s="666"/>
    </row>
    <row r="346" spans="1:14" s="343" customFormat="1" ht="15.95" customHeight="1" x14ac:dyDescent="0.2">
      <c r="A346" s="1643" t="s">
        <v>899</v>
      </c>
      <c r="B346" s="1635" t="s">
        <v>590</v>
      </c>
      <c r="C346" s="615"/>
      <c r="D346" s="615"/>
      <c r="E346" s="615"/>
      <c r="F346" s="615"/>
      <c r="G346" s="615"/>
      <c r="H346" s="615"/>
      <c r="I346" s="615"/>
      <c r="J346" s="615"/>
      <c r="K346" s="615"/>
      <c r="L346" s="615"/>
      <c r="M346" s="608"/>
      <c r="N346" s="608"/>
    </row>
    <row r="347" spans="1:14" ht="15.95" customHeight="1" x14ac:dyDescent="0.2">
      <c r="A347" s="698" t="s">
        <v>633</v>
      </c>
      <c r="B347" s="699"/>
      <c r="C347" s="622"/>
      <c r="D347" s="622"/>
      <c r="E347" s="622"/>
      <c r="F347" s="622"/>
      <c r="G347" s="622"/>
      <c r="H347" s="622"/>
      <c r="I347" s="615"/>
      <c r="J347" s="615"/>
      <c r="K347" s="622"/>
      <c r="L347" s="622"/>
    </row>
    <row r="348" spans="1:14" x14ac:dyDescent="0.2">
      <c r="A348" s="1524" t="s">
        <v>4</v>
      </c>
      <c r="B348" s="613">
        <v>2530</v>
      </c>
      <c r="C348" s="466">
        <v>0</v>
      </c>
      <c r="D348" s="466">
        <v>0</v>
      </c>
      <c r="E348" s="466">
        <v>0</v>
      </c>
      <c r="F348" s="466">
        <v>0</v>
      </c>
      <c r="G348" s="466">
        <v>0</v>
      </c>
      <c r="H348" s="466">
        <v>0</v>
      </c>
      <c r="I348" s="467">
        <v>0</v>
      </c>
      <c r="J348" s="467">
        <v>0</v>
      </c>
      <c r="K348" s="1691">
        <f>SUM(C348:J348)</f>
        <v>0</v>
      </c>
      <c r="L348" s="466">
        <v>0</v>
      </c>
    </row>
    <row r="349" spans="1:14" x14ac:dyDescent="0.2">
      <c r="A349" s="1524" t="s">
        <v>206</v>
      </c>
      <c r="B349" s="613">
        <v>2540</v>
      </c>
      <c r="C349" s="466">
        <v>0</v>
      </c>
      <c r="D349" s="466">
        <v>0</v>
      </c>
      <c r="E349" s="466">
        <v>0</v>
      </c>
      <c r="F349" s="466">
        <v>0</v>
      </c>
      <c r="G349" s="466">
        <v>0</v>
      </c>
      <c r="H349" s="466">
        <v>0</v>
      </c>
      <c r="I349" s="467">
        <v>0</v>
      </c>
      <c r="J349" s="467">
        <v>0</v>
      </c>
      <c r="K349" s="1691">
        <f>SUM(C349:J349)</f>
        <v>0</v>
      </c>
      <c r="L349" s="466">
        <v>0</v>
      </c>
    </row>
    <row r="350" spans="1:14" ht="12.75" customHeight="1" thickBot="1" x14ac:dyDescent="0.25">
      <c r="A350" s="1688" t="s">
        <v>743</v>
      </c>
      <c r="B350" s="1689" t="s">
        <v>35</v>
      </c>
      <c r="C350" s="1690">
        <f>SUM(C348:C349)</f>
        <v>0</v>
      </c>
      <c r="D350" s="1690">
        <f t="shared" ref="D350:L350" si="26">SUM(D348:D349)</f>
        <v>0</v>
      </c>
      <c r="E350" s="1690">
        <f t="shared" si="26"/>
        <v>0</v>
      </c>
      <c r="F350" s="1690">
        <f t="shared" si="26"/>
        <v>0</v>
      </c>
      <c r="G350" s="1690">
        <f t="shared" si="26"/>
        <v>0</v>
      </c>
      <c r="H350" s="1690">
        <f t="shared" si="26"/>
        <v>0</v>
      </c>
      <c r="I350" s="1690">
        <f t="shared" si="26"/>
        <v>0</v>
      </c>
      <c r="J350" s="1690">
        <f t="shared" si="26"/>
        <v>0</v>
      </c>
      <c r="K350" s="1690">
        <f t="shared" si="26"/>
        <v>0</v>
      </c>
      <c r="L350" s="1690">
        <f t="shared" si="26"/>
        <v>0</v>
      </c>
    </row>
    <row r="351" spans="1:14" ht="12.75" customHeight="1" thickTop="1" x14ac:dyDescent="0.2">
      <c r="A351" s="1530"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8" t="s">
        <v>645</v>
      </c>
      <c r="B352" s="1695" t="s">
        <v>590</v>
      </c>
      <c r="C352" s="1690">
        <f>SUM(C350:C351)</f>
        <v>0</v>
      </c>
      <c r="D352" s="1690">
        <f t="shared" ref="D352:L352" si="27">SUM(D350:D351)</f>
        <v>0</v>
      </c>
      <c r="E352" s="1690">
        <f t="shared" si="27"/>
        <v>0</v>
      </c>
      <c r="F352" s="1690">
        <f t="shared" si="27"/>
        <v>0</v>
      </c>
      <c r="G352" s="1690">
        <f t="shared" si="27"/>
        <v>0</v>
      </c>
      <c r="H352" s="1690">
        <f t="shared" si="27"/>
        <v>0</v>
      </c>
      <c r="I352" s="1690">
        <f t="shared" si="27"/>
        <v>0</v>
      </c>
      <c r="J352" s="1690">
        <f t="shared" si="27"/>
        <v>0</v>
      </c>
      <c r="K352" s="1690">
        <f t="shared" si="27"/>
        <v>0</v>
      </c>
      <c r="L352" s="1690">
        <f t="shared" si="27"/>
        <v>0</v>
      </c>
    </row>
    <row r="353" spans="1:14" s="343" customFormat="1" ht="15.95" customHeight="1" thickTop="1" x14ac:dyDescent="0.2">
      <c r="A353" s="1632" t="s">
        <v>646</v>
      </c>
      <c r="B353" s="1629" t="s">
        <v>915</v>
      </c>
      <c r="C353" s="615"/>
      <c r="D353" s="615"/>
      <c r="E353" s="615"/>
      <c r="F353" s="615"/>
      <c r="G353" s="615"/>
      <c r="H353" s="615"/>
      <c r="I353" s="615"/>
      <c r="J353" s="615"/>
      <c r="K353" s="615"/>
      <c r="L353" s="615"/>
      <c r="M353" s="608"/>
      <c r="N353" s="608"/>
    </row>
    <row r="354" spans="1:14" x14ac:dyDescent="0.2">
      <c r="A354" s="1855" t="s">
        <v>1962</v>
      </c>
      <c r="B354" s="682" t="s">
        <v>1954</v>
      </c>
      <c r="C354" s="615"/>
      <c r="D354" s="615"/>
      <c r="E354" s="615"/>
      <c r="F354" s="615"/>
      <c r="G354" s="615"/>
      <c r="H354" s="474">
        <v>0</v>
      </c>
      <c r="I354" s="700"/>
      <c r="J354" s="615"/>
      <c r="K354" s="1719">
        <f>H354</f>
        <v>0</v>
      </c>
      <c r="L354" s="471">
        <v>0</v>
      </c>
    </row>
    <row r="355" spans="1:14" ht="12.75" customHeight="1" x14ac:dyDescent="0.2">
      <c r="A355" s="1533" t="s">
        <v>1963</v>
      </c>
      <c r="B355" s="689" t="s">
        <v>1956</v>
      </c>
      <c r="C355" s="615"/>
      <c r="D355" s="615"/>
      <c r="E355" s="615"/>
      <c r="F355" s="615"/>
      <c r="G355" s="615"/>
      <c r="H355" s="467">
        <v>0</v>
      </c>
      <c r="I355" s="700"/>
      <c r="J355" s="615"/>
      <c r="K355" s="1763">
        <f>H355</f>
        <v>0</v>
      </c>
      <c r="L355" s="467">
        <v>0</v>
      </c>
    </row>
    <row r="356" spans="1:14" ht="12.75" customHeight="1" x14ac:dyDescent="0.2">
      <c r="A356" s="1855" t="s">
        <v>722</v>
      </c>
      <c r="B356" s="682" t="s">
        <v>579</v>
      </c>
      <c r="C356" s="615"/>
      <c r="D356" s="615"/>
      <c r="E356" s="615"/>
      <c r="F356" s="615"/>
      <c r="G356" s="615"/>
      <c r="H356" s="478">
        <v>0</v>
      </c>
      <c r="I356" s="700"/>
      <c r="J356" s="615"/>
      <c r="K356" s="1760">
        <f>H356</f>
        <v>0</v>
      </c>
      <c r="L356" s="478">
        <v>0</v>
      </c>
    </row>
    <row r="357" spans="1:14" ht="12.75" customHeight="1" thickBot="1" x14ac:dyDescent="0.25">
      <c r="A357" s="1688" t="s">
        <v>1567</v>
      </c>
      <c r="B357" s="1689" t="s">
        <v>915</v>
      </c>
      <c r="C357" s="615"/>
      <c r="D357" s="615"/>
      <c r="E357" s="615"/>
      <c r="F357" s="615"/>
      <c r="G357" s="615"/>
      <c r="H357" s="1708">
        <f>SUM(H354:H356)</f>
        <v>0</v>
      </c>
      <c r="I357" s="700"/>
      <c r="J357" s="615"/>
      <c r="K357" s="1708">
        <f>SUM(K354:K356)</f>
        <v>0</v>
      </c>
      <c r="L357" s="1708">
        <f>SUM(L354:L356)</f>
        <v>0</v>
      </c>
    </row>
    <row r="358" spans="1:14" s="343" customFormat="1" ht="15.95" customHeight="1" thickTop="1" x14ac:dyDescent="0.2">
      <c r="A358" s="1632" t="s">
        <v>1005</v>
      </c>
      <c r="B358" s="1629" t="s">
        <v>513</v>
      </c>
      <c r="C358" s="615"/>
      <c r="D358" s="615"/>
      <c r="E358" s="615"/>
      <c r="F358" s="615"/>
      <c r="G358" s="615"/>
      <c r="H358" s="615"/>
      <c r="I358" s="615"/>
      <c r="J358" s="615"/>
      <c r="K358" s="615"/>
      <c r="L358" s="615"/>
      <c r="M358" s="608"/>
      <c r="N358" s="608"/>
    </row>
    <row r="359" spans="1:14" s="343" customFormat="1" ht="15.95" customHeight="1" x14ac:dyDescent="0.2">
      <c r="A359" s="652" t="s">
        <v>648</v>
      </c>
      <c r="B359" s="621"/>
      <c r="C359" s="615"/>
      <c r="D359" s="615"/>
      <c r="E359" s="615"/>
      <c r="F359" s="615"/>
      <c r="G359" s="615"/>
      <c r="H359" s="615"/>
      <c r="I359" s="615"/>
      <c r="J359" s="615"/>
      <c r="K359" s="622"/>
      <c r="L359" s="622"/>
      <c r="M359" s="608"/>
      <c r="N359" s="608"/>
    </row>
    <row r="360" spans="1:14" x14ac:dyDescent="0.2">
      <c r="A360" s="1524" t="s">
        <v>89</v>
      </c>
      <c r="B360" s="613">
        <v>5110</v>
      </c>
      <c r="C360" s="615"/>
      <c r="D360" s="615"/>
      <c r="E360" s="615"/>
      <c r="F360" s="615"/>
      <c r="G360" s="615"/>
      <c r="H360" s="467">
        <v>0</v>
      </c>
      <c r="I360" s="615"/>
      <c r="J360" s="615"/>
      <c r="K360" s="1691">
        <f>SUM(C360:J360)</f>
        <v>0</v>
      </c>
      <c r="L360" s="466">
        <v>0</v>
      </c>
    </row>
    <row r="361" spans="1:14" ht="12.75" customHeight="1" x14ac:dyDescent="0.2">
      <c r="A361" s="1525" t="s">
        <v>640</v>
      </c>
      <c r="B361" s="601" t="s">
        <v>639</v>
      </c>
      <c r="C361" s="615"/>
      <c r="D361" s="615"/>
      <c r="E361" s="615"/>
      <c r="F361" s="615"/>
      <c r="G361" s="615"/>
      <c r="H361" s="467">
        <v>0</v>
      </c>
      <c r="I361" s="615"/>
      <c r="J361" s="615"/>
      <c r="K361" s="1691">
        <f>SUM(C361:J361)</f>
        <v>0</v>
      </c>
      <c r="L361" s="466">
        <v>0</v>
      </c>
    </row>
    <row r="362" spans="1:14" ht="12.75" customHeight="1" thickBot="1" x14ac:dyDescent="0.25">
      <c r="A362" s="1688" t="s">
        <v>647</v>
      </c>
      <c r="B362" s="1689" t="s">
        <v>742</v>
      </c>
      <c r="C362" s="615"/>
      <c r="D362" s="615"/>
      <c r="E362" s="615"/>
      <c r="F362" s="615"/>
      <c r="G362" s="615"/>
      <c r="H362" s="1723">
        <f>SUM(H360:H361)</f>
        <v>0</v>
      </c>
      <c r="I362" s="615"/>
      <c r="J362" s="615"/>
      <c r="K362" s="1723">
        <f>SUM(K360:K361)</f>
        <v>0</v>
      </c>
      <c r="L362" s="1723">
        <f>SUM(L360:L361)</f>
        <v>0</v>
      </c>
    </row>
    <row r="363" spans="1:14" s="673" customFormat="1" ht="15.95" customHeight="1" thickTop="1" x14ac:dyDescent="0.2">
      <c r="A363" s="659" t="s">
        <v>85</v>
      </c>
      <c r="B363" s="660" t="s">
        <v>38</v>
      </c>
      <c r="C363" s="637"/>
      <c r="D363" s="637"/>
      <c r="E363" s="637"/>
      <c r="F363" s="637"/>
      <c r="G363" s="637"/>
      <c r="H363" s="478">
        <v>0</v>
      </c>
      <c r="I363" s="637"/>
      <c r="J363" s="637"/>
      <c r="K363" s="1719">
        <f>SUM(C363:J363)</f>
        <v>0</v>
      </c>
      <c r="L363" s="478">
        <v>0</v>
      </c>
      <c r="M363" s="664"/>
      <c r="N363" s="664"/>
    </row>
    <row r="364" spans="1:14" s="707" customFormat="1" ht="29.25" customHeight="1" x14ac:dyDescent="0.2">
      <c r="A364" s="701" t="s">
        <v>1771</v>
      </c>
      <c r="B364" s="702">
        <v>5300</v>
      </c>
      <c r="C364" s="703"/>
      <c r="D364" s="704"/>
      <c r="E364" s="704"/>
      <c r="F364" s="703"/>
      <c r="G364" s="704"/>
      <c r="H364" s="705">
        <v>0</v>
      </c>
      <c r="I364" s="704"/>
      <c r="J364" s="704"/>
      <c r="K364" s="1691">
        <f>SUM(C364:J364)</f>
        <v>0</v>
      </c>
      <c r="L364" s="706">
        <v>0</v>
      </c>
    </row>
    <row r="365" spans="1:14" s="673" customFormat="1" ht="12.75" customHeight="1" thickBot="1" x14ac:dyDescent="0.25">
      <c r="A365" s="1541" t="s">
        <v>611</v>
      </c>
      <c r="B365" s="658" t="s">
        <v>513</v>
      </c>
      <c r="C365" s="637"/>
      <c r="D365" s="637"/>
      <c r="E365" s="637"/>
      <c r="F365" s="637"/>
      <c r="G365" s="637"/>
      <c r="H365" s="1723">
        <f>SUM(H362,H363,H364)</f>
        <v>0</v>
      </c>
      <c r="I365" s="637"/>
      <c r="J365" s="637"/>
      <c r="K365" s="1723">
        <f>SUM(K362,K363,K364)</f>
        <v>0</v>
      </c>
      <c r="L365" s="1723">
        <f>SUM(L362,L363,L364)</f>
        <v>0</v>
      </c>
      <c r="M365" s="664"/>
      <c r="N365" s="664"/>
    </row>
    <row r="366" spans="1:14" s="343" customFormat="1" ht="15.95" customHeight="1" thickTop="1" thickBot="1" x14ac:dyDescent="0.25">
      <c r="A366" s="1626" t="s">
        <v>1006</v>
      </c>
      <c r="B366" s="1633" t="s">
        <v>916</v>
      </c>
      <c r="C366" s="622"/>
      <c r="D366" s="622"/>
      <c r="E366" s="622"/>
      <c r="F366" s="622"/>
      <c r="G366" s="622"/>
      <c r="H366" s="622"/>
      <c r="I366" s="622"/>
      <c r="J366" s="615"/>
      <c r="K366" s="622"/>
      <c r="L366" s="571">
        <v>0</v>
      </c>
      <c r="M366" s="608"/>
      <c r="N366" s="608"/>
    </row>
    <row r="367" spans="1:14" ht="12.75" customHeight="1" thickTop="1" thickBot="1" x14ac:dyDescent="0.25">
      <c r="A367" s="1712" t="s">
        <v>526</v>
      </c>
      <c r="B367" s="1724"/>
      <c r="C367" s="1690">
        <f t="shared" ref="C367:L367" si="28">SUM(C352,C357,C365,C366)</f>
        <v>0</v>
      </c>
      <c r="D367" s="1690">
        <f t="shared" si="28"/>
        <v>0</v>
      </c>
      <c r="E367" s="1690">
        <f t="shared" si="28"/>
        <v>0</v>
      </c>
      <c r="F367" s="1690">
        <f t="shared" si="28"/>
        <v>0</v>
      </c>
      <c r="G367" s="1690">
        <f t="shared" si="28"/>
        <v>0</v>
      </c>
      <c r="H367" s="1690">
        <f t="shared" si="28"/>
        <v>0</v>
      </c>
      <c r="I367" s="1690">
        <f t="shared" si="28"/>
        <v>0</v>
      </c>
      <c r="J367" s="1690">
        <f t="shared" si="28"/>
        <v>0</v>
      </c>
      <c r="K367" s="1690">
        <f t="shared" si="28"/>
        <v>0</v>
      </c>
      <c r="L367" s="1690">
        <f t="shared" si="28"/>
        <v>0</v>
      </c>
    </row>
    <row r="368" spans="1:14" ht="13.5" thickTop="1" x14ac:dyDescent="0.2">
      <c r="A368" s="2299" t="s">
        <v>1053</v>
      </c>
      <c r="B368" s="2300"/>
      <c r="C368" s="653"/>
      <c r="D368" s="653"/>
      <c r="E368" s="625"/>
      <c r="F368" s="625"/>
      <c r="G368" s="625"/>
      <c r="H368" s="625"/>
      <c r="I368" s="625"/>
      <c r="J368" s="622"/>
      <c r="K368" s="1691">
        <f>'Revenues 9-14'!K275-'Expenditures 15-22'!K367</f>
        <v>0</v>
      </c>
      <c r="L368" s="653"/>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950000000000003" customHeight="1" x14ac:dyDescent="0.2">
      <c r="A1" s="1906" t="s">
        <v>106</v>
      </c>
    </row>
    <row r="2" spans="1:6" ht="39.75" customHeight="1" x14ac:dyDescent="0.2">
      <c r="A2" s="2326" t="s">
        <v>1902</v>
      </c>
      <c r="B2" s="1548" t="s">
        <v>2034</v>
      </c>
      <c r="C2" s="713" t="s">
        <v>1907</v>
      </c>
      <c r="D2" s="713" t="s">
        <v>1908</v>
      </c>
      <c r="E2" s="713" t="s">
        <v>1909</v>
      </c>
      <c r="F2" s="713" t="s">
        <v>1910</v>
      </c>
    </row>
    <row r="3" spans="1:6" ht="12" customHeight="1" x14ac:dyDescent="0.2">
      <c r="A3" s="2327"/>
      <c r="B3" s="1545"/>
      <c r="C3" s="1546"/>
      <c r="D3" s="1547" t="s">
        <v>274</v>
      </c>
      <c r="E3" s="1546"/>
      <c r="F3" s="1547" t="s">
        <v>275</v>
      </c>
    </row>
    <row r="4" spans="1:6" ht="13.9" customHeight="1" x14ac:dyDescent="0.2">
      <c r="A4" s="714" t="s">
        <v>1217</v>
      </c>
      <c r="B4" s="1769">
        <f>'Revenues 9-14'!C5</f>
        <v>0</v>
      </c>
      <c r="C4" s="1544"/>
      <c r="D4" s="1772">
        <f>B4-C4</f>
        <v>0</v>
      </c>
      <c r="E4" s="1544"/>
      <c r="F4" s="1772">
        <f>E4-C4</f>
        <v>0</v>
      </c>
    </row>
    <row r="5" spans="1:6" ht="13.9" customHeight="1" x14ac:dyDescent="0.2">
      <c r="A5" s="714" t="s">
        <v>925</v>
      </c>
      <c r="B5" s="1770">
        <f>'Revenues 9-14'!D5</f>
        <v>0</v>
      </c>
      <c r="C5" s="583"/>
      <c r="D5" s="1773">
        <f t="shared" ref="D5:D18" si="0">B5-C5</f>
        <v>0</v>
      </c>
      <c r="E5" s="583"/>
      <c r="F5" s="1773">
        <f>E5-C5</f>
        <v>0</v>
      </c>
    </row>
    <row r="6" spans="1:6" ht="13.9" customHeight="1" x14ac:dyDescent="0.2">
      <c r="A6" s="714" t="s">
        <v>431</v>
      </c>
      <c r="B6" s="1770">
        <f>'Revenues 9-14'!E5</f>
        <v>0</v>
      </c>
      <c r="C6" s="583"/>
      <c r="D6" s="1773">
        <f t="shared" si="0"/>
        <v>0</v>
      </c>
      <c r="E6" s="583"/>
      <c r="F6" s="1773">
        <f t="shared" ref="F6:F18" si="1">E6-C6</f>
        <v>0</v>
      </c>
    </row>
    <row r="7" spans="1:6" ht="13.9" customHeight="1" x14ac:dyDescent="0.2">
      <c r="A7" s="714" t="s">
        <v>157</v>
      </c>
      <c r="B7" s="1770">
        <f>'Revenues 9-14'!F5</f>
        <v>0</v>
      </c>
      <c r="C7" s="583"/>
      <c r="D7" s="1773">
        <f t="shared" si="0"/>
        <v>0</v>
      </c>
      <c r="E7" s="583"/>
      <c r="F7" s="1773">
        <f t="shared" si="1"/>
        <v>0</v>
      </c>
    </row>
    <row r="8" spans="1:6" ht="13.9" customHeight="1" x14ac:dyDescent="0.2">
      <c r="A8" s="714" t="s">
        <v>1241</v>
      </c>
      <c r="B8" s="1770">
        <f>'Revenues 9-14'!G5</f>
        <v>0</v>
      </c>
      <c r="C8" s="583"/>
      <c r="D8" s="1773">
        <f t="shared" si="0"/>
        <v>0</v>
      </c>
      <c r="E8" s="583"/>
      <c r="F8" s="1773">
        <f t="shared" si="1"/>
        <v>0</v>
      </c>
    </row>
    <row r="9" spans="1:6" ht="13.9" customHeight="1" x14ac:dyDescent="0.2">
      <c r="A9" s="714" t="s">
        <v>428</v>
      </c>
      <c r="B9" s="1770">
        <f>'Revenues 9-14'!H5</f>
        <v>0</v>
      </c>
      <c r="C9" s="583"/>
      <c r="D9" s="1773">
        <f t="shared" si="0"/>
        <v>0</v>
      </c>
      <c r="E9" s="583"/>
      <c r="F9" s="1773">
        <f t="shared" si="1"/>
        <v>0</v>
      </c>
    </row>
    <row r="10" spans="1:6" ht="13.9" customHeight="1" x14ac:dyDescent="0.2">
      <c r="A10" s="714" t="s">
        <v>427</v>
      </c>
      <c r="B10" s="1770">
        <f>'Revenues 9-14'!I5</f>
        <v>0</v>
      </c>
      <c r="C10" s="583"/>
      <c r="D10" s="1773">
        <f t="shared" si="0"/>
        <v>0</v>
      </c>
      <c r="E10" s="583"/>
      <c r="F10" s="1773">
        <f t="shared" si="1"/>
        <v>0</v>
      </c>
    </row>
    <row r="11" spans="1:6" x14ac:dyDescent="0.2">
      <c r="A11" s="714" t="s">
        <v>429</v>
      </c>
      <c r="B11" s="1770">
        <f>'Revenues 9-14'!J5</f>
        <v>0</v>
      </c>
      <c r="C11" s="583"/>
      <c r="D11" s="1773">
        <f t="shared" si="0"/>
        <v>0</v>
      </c>
      <c r="E11" s="583"/>
      <c r="F11" s="1773">
        <f t="shared" si="1"/>
        <v>0</v>
      </c>
    </row>
    <row r="12" spans="1:6" ht="13.9" customHeight="1" x14ac:dyDescent="0.2">
      <c r="A12" s="714" t="s">
        <v>159</v>
      </c>
      <c r="B12" s="1770">
        <f>'Revenues 9-14'!K5</f>
        <v>0</v>
      </c>
      <c r="C12" s="583"/>
      <c r="D12" s="1773">
        <f t="shared" si="0"/>
        <v>0</v>
      </c>
      <c r="E12" s="583"/>
      <c r="F12" s="1773">
        <f t="shared" si="1"/>
        <v>0</v>
      </c>
    </row>
    <row r="13" spans="1:6" ht="13.9" customHeight="1" x14ac:dyDescent="0.2">
      <c r="A13" s="714" t="s">
        <v>993</v>
      </c>
      <c r="B13" s="1770">
        <f>SUM('Revenues 9-14'!C6:D6)</f>
        <v>0</v>
      </c>
      <c r="C13" s="583"/>
      <c r="D13" s="1773">
        <f t="shared" si="0"/>
        <v>0</v>
      </c>
      <c r="E13" s="583"/>
      <c r="F13" s="1773">
        <f t="shared" si="1"/>
        <v>0</v>
      </c>
    </row>
    <row r="14" spans="1:6" ht="13.9" customHeight="1" x14ac:dyDescent="0.2">
      <c r="A14" s="714" t="s">
        <v>430</v>
      </c>
      <c r="B14" s="1770">
        <f>SUM('Revenues 9-14'!C7:D7,'Revenues 9-14'!F7:H7)</f>
        <v>0</v>
      </c>
      <c r="C14" s="583"/>
      <c r="D14" s="1773">
        <f t="shared" si="0"/>
        <v>0</v>
      </c>
      <c r="E14" s="583"/>
      <c r="F14" s="1773">
        <f t="shared" si="1"/>
        <v>0</v>
      </c>
    </row>
    <row r="15" spans="1:6" ht="13.9" customHeight="1" x14ac:dyDescent="0.2">
      <c r="A15" s="714" t="s">
        <v>1220</v>
      </c>
      <c r="B15" s="1770">
        <f>'Revenues 9-14'!E9</f>
        <v>0</v>
      </c>
      <c r="C15" s="583"/>
      <c r="D15" s="1773">
        <f t="shared" si="0"/>
        <v>0</v>
      </c>
      <c r="E15" s="583"/>
      <c r="F15" s="1773">
        <f t="shared" si="1"/>
        <v>0</v>
      </c>
    </row>
    <row r="16" spans="1:6" ht="13.9" customHeight="1" x14ac:dyDescent="0.2">
      <c r="A16" s="714" t="s">
        <v>1221</v>
      </c>
      <c r="B16" s="1770">
        <f>'Revenues 9-14'!G8</f>
        <v>0</v>
      </c>
      <c r="C16" s="583"/>
      <c r="D16" s="1773">
        <f t="shared" si="0"/>
        <v>0</v>
      </c>
      <c r="E16" s="583"/>
      <c r="F16" s="1773">
        <f t="shared" si="1"/>
        <v>0</v>
      </c>
    </row>
    <row r="17" spans="1:6" ht="13.9" customHeight="1" x14ac:dyDescent="0.2">
      <c r="A17" s="714" t="s">
        <v>1222</v>
      </c>
      <c r="B17" s="1770">
        <f>'Revenues 9-14'!C10</f>
        <v>0</v>
      </c>
      <c r="C17" s="583"/>
      <c r="D17" s="1773">
        <f t="shared" si="0"/>
        <v>0</v>
      </c>
      <c r="E17" s="583"/>
      <c r="F17" s="1773">
        <f t="shared" si="1"/>
        <v>0</v>
      </c>
    </row>
    <row r="18" spans="1:6" ht="13.9" customHeight="1" x14ac:dyDescent="0.2">
      <c r="A18" s="714" t="s">
        <v>786</v>
      </c>
      <c r="B18" s="1770">
        <f>SUM('Revenues 9-14'!C11:K11)</f>
        <v>0</v>
      </c>
      <c r="C18" s="583"/>
      <c r="D18" s="1773">
        <f t="shared" si="0"/>
        <v>0</v>
      </c>
      <c r="E18" s="583"/>
      <c r="F18" s="1773">
        <f t="shared" si="1"/>
        <v>0</v>
      </c>
    </row>
    <row r="19" spans="1:6" ht="13.9" customHeight="1" thickBot="1" x14ac:dyDescent="0.25">
      <c r="A19" s="1774" t="s">
        <v>1223</v>
      </c>
      <c r="B19" s="1771">
        <f>SUM(B4:B18)</f>
        <v>0</v>
      </c>
      <c r="C19" s="1771">
        <f>SUM(C4:C18)</f>
        <v>0</v>
      </c>
      <c r="D19" s="1771">
        <f>SUM(D4:D18)</f>
        <v>0</v>
      </c>
      <c r="E19" s="1771">
        <f>SUM(E4:E18)</f>
        <v>0</v>
      </c>
      <c r="F19" s="1771">
        <f>SUM(F4:F18)</f>
        <v>0</v>
      </c>
    </row>
    <row r="20" spans="1:6" ht="13.5" thickTop="1" x14ac:dyDescent="0.2">
      <c r="B20" s="712"/>
      <c r="F20" s="715"/>
    </row>
    <row r="21" spans="1:6" x14ac:dyDescent="0.2">
      <c r="A21" s="716" t="s">
        <v>1912</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40" zoomScaleNormal="14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2" customHeight="1" x14ac:dyDescent="0.2">
      <c r="A1" s="2348" t="s">
        <v>650</v>
      </c>
      <c r="B1" s="2346"/>
      <c r="C1" s="720"/>
    </row>
    <row r="2" spans="1:7" ht="33.75" x14ac:dyDescent="0.2">
      <c r="A2" s="2353" t="s">
        <v>1902</v>
      </c>
      <c r="B2" s="2354"/>
      <c r="C2" s="1907" t="s">
        <v>2035</v>
      </c>
      <c r="D2" s="722" t="s">
        <v>2042</v>
      </c>
      <c r="E2" s="722" t="s">
        <v>2043</v>
      </c>
      <c r="F2" s="1907" t="s">
        <v>2036</v>
      </c>
    </row>
    <row r="3" spans="1:7" ht="15.95" customHeight="1" x14ac:dyDescent="0.2">
      <c r="A3" s="2355" t="s">
        <v>1176</v>
      </c>
      <c r="B3" s="2356"/>
      <c r="C3" s="2349"/>
      <c r="D3" s="2350"/>
      <c r="E3" s="2350"/>
      <c r="F3" s="2351"/>
    </row>
    <row r="4" spans="1:7" ht="12.75" customHeight="1" thickBot="1" x14ac:dyDescent="0.25">
      <c r="A4" s="2343" t="s">
        <v>651</v>
      </c>
      <c r="B4" s="2344"/>
      <c r="C4" s="579"/>
      <c r="D4" s="579"/>
      <c r="E4" s="579"/>
      <c r="F4" s="1775">
        <f>SUM(C4+D4)-E4</f>
        <v>0</v>
      </c>
    </row>
    <row r="5" spans="1:7" ht="15.95" customHeight="1" thickTop="1" x14ac:dyDescent="0.2">
      <c r="A5" s="2347" t="s">
        <v>1172</v>
      </c>
      <c r="B5" s="2342"/>
      <c r="C5" s="2336"/>
      <c r="D5" s="2337"/>
      <c r="E5" s="2337"/>
      <c r="F5" s="2338"/>
    </row>
    <row r="6" spans="1:7" ht="12.75" customHeight="1" thickBot="1" x14ac:dyDescent="0.25">
      <c r="A6" s="723" t="s">
        <v>66</v>
      </c>
      <c r="B6" s="724"/>
      <c r="C6" s="725"/>
      <c r="D6" s="583"/>
      <c r="E6" s="725"/>
      <c r="F6" s="1775">
        <f t="shared" ref="F6:F14" si="0">SUM(C6+D6)-E6</f>
        <v>0</v>
      </c>
    </row>
    <row r="7" spans="1:7" ht="12.75" customHeight="1" thickTop="1" thickBot="1" x14ac:dyDescent="0.25">
      <c r="A7" s="723" t="s">
        <v>6</v>
      </c>
      <c r="B7" s="724"/>
      <c r="C7" s="725"/>
      <c r="D7" s="583"/>
      <c r="E7" s="725"/>
      <c r="F7" s="1775">
        <f t="shared" si="0"/>
        <v>0</v>
      </c>
    </row>
    <row r="8" spans="1:7" ht="12.75" customHeight="1" thickTop="1" thickBot="1" x14ac:dyDescent="0.25">
      <c r="A8" s="723" t="s">
        <v>529</v>
      </c>
      <c r="B8" s="724"/>
      <c r="C8" s="725"/>
      <c r="D8" s="583"/>
      <c r="E8" s="725"/>
      <c r="F8" s="1775">
        <f t="shared" si="0"/>
        <v>0</v>
      </c>
    </row>
    <row r="9" spans="1:7" ht="12.75" customHeight="1" thickTop="1" thickBot="1" x14ac:dyDescent="0.25">
      <c r="A9" s="723" t="s">
        <v>530</v>
      </c>
      <c r="B9" s="724"/>
      <c r="C9" s="725"/>
      <c r="D9" s="583"/>
      <c r="E9" s="725"/>
      <c r="F9" s="1775">
        <f t="shared" si="0"/>
        <v>0</v>
      </c>
    </row>
    <row r="10" spans="1:7" ht="12.75" customHeight="1" thickTop="1" thickBot="1" x14ac:dyDescent="0.25">
      <c r="A10" s="723" t="s">
        <v>531</v>
      </c>
      <c r="B10" s="724"/>
      <c r="C10" s="725"/>
      <c r="D10" s="583"/>
      <c r="E10" s="725"/>
      <c r="F10" s="1775">
        <f t="shared" si="0"/>
        <v>0</v>
      </c>
    </row>
    <row r="11" spans="1:7" ht="12.75" customHeight="1" thickTop="1" thickBot="1" x14ac:dyDescent="0.25">
      <c r="A11" s="723" t="s">
        <v>359</v>
      </c>
      <c r="B11" s="724"/>
      <c r="C11" s="725"/>
      <c r="D11" s="583"/>
      <c r="E11" s="725"/>
      <c r="F11" s="1775">
        <f t="shared" si="0"/>
        <v>0</v>
      </c>
    </row>
    <row r="12" spans="1:7" ht="12.75" customHeight="1" thickTop="1" thickBot="1" x14ac:dyDescent="0.25">
      <c r="A12" s="723" t="s">
        <v>1219</v>
      </c>
      <c r="B12" s="724"/>
      <c r="C12" s="725"/>
      <c r="D12" s="583"/>
      <c r="E12" s="725"/>
      <c r="F12" s="1775">
        <f t="shared" si="0"/>
        <v>0</v>
      </c>
    </row>
    <row r="13" spans="1:7" ht="12.75" customHeight="1" thickTop="1" thickBot="1" x14ac:dyDescent="0.25">
      <c r="A13" s="723" t="s">
        <v>406</v>
      </c>
      <c r="B13" s="724"/>
      <c r="C13" s="725"/>
      <c r="D13" s="583"/>
      <c r="E13" s="725"/>
      <c r="F13" s="1775">
        <f t="shared" si="0"/>
        <v>0</v>
      </c>
    </row>
    <row r="14" spans="1:7" ht="12.75" customHeight="1" thickTop="1" thickBot="1" x14ac:dyDescent="0.25">
      <c r="A14" s="723" t="s">
        <v>468</v>
      </c>
      <c r="B14" s="724"/>
      <c r="C14" s="725"/>
      <c r="D14" s="583"/>
      <c r="E14" s="725"/>
      <c r="F14" s="1775">
        <f t="shared" si="0"/>
        <v>0</v>
      </c>
    </row>
    <row r="15" spans="1:7" ht="14.25" thickTop="1" thickBot="1" x14ac:dyDescent="0.25">
      <c r="A15" s="2339" t="s">
        <v>652</v>
      </c>
      <c r="B15" s="2340"/>
      <c r="C15" s="1775">
        <f>SUM(C6:C14)</f>
        <v>0</v>
      </c>
      <c r="D15" s="1775">
        <f>SUM(D6:D14)</f>
        <v>0</v>
      </c>
      <c r="E15" s="1775">
        <f>SUM(E6:E14)</f>
        <v>0</v>
      </c>
      <c r="F15" s="1775">
        <f>SUM(F6:F14)</f>
        <v>0</v>
      </c>
      <c r="G15" s="550"/>
    </row>
    <row r="16" spans="1:7" s="202" customFormat="1" ht="15.95" customHeight="1" thickTop="1" x14ac:dyDescent="0.2">
      <c r="A16" s="2352" t="s">
        <v>1173</v>
      </c>
      <c r="B16" s="2342"/>
      <c r="C16" s="2336"/>
      <c r="D16" s="2337"/>
      <c r="E16" s="2337"/>
      <c r="F16" s="2338"/>
    </row>
    <row r="17" spans="1:11" ht="12.75" customHeight="1" thickBot="1" x14ac:dyDescent="0.25">
      <c r="A17" s="2334" t="s">
        <v>66</v>
      </c>
      <c r="B17" s="2335"/>
      <c r="C17" s="725"/>
      <c r="D17" s="583"/>
      <c r="E17" s="725"/>
      <c r="F17" s="1775">
        <f>SUM(C17+D17)-E17</f>
        <v>0</v>
      </c>
    </row>
    <row r="18" spans="1:11" ht="12.75" customHeight="1" thickTop="1" thickBot="1" x14ac:dyDescent="0.25">
      <c r="A18" s="2334" t="s">
        <v>6</v>
      </c>
      <c r="B18" s="2335"/>
      <c r="C18" s="725"/>
      <c r="D18" s="583"/>
      <c r="E18" s="725"/>
      <c r="F18" s="1775">
        <f>SUM(C18+D18)-E18</f>
        <v>0</v>
      </c>
    </row>
    <row r="19" spans="1:11" ht="12.75" customHeight="1" thickTop="1" thickBot="1" x14ac:dyDescent="0.25">
      <c r="A19" s="2334" t="s">
        <v>406</v>
      </c>
      <c r="B19" s="2335"/>
      <c r="C19" s="725"/>
      <c r="D19" s="583"/>
      <c r="E19" s="725"/>
      <c r="F19" s="1775">
        <f>SUM(C19+D19)-E19</f>
        <v>0</v>
      </c>
    </row>
    <row r="20" spans="1:11" ht="12.75" customHeight="1" thickTop="1" thickBot="1" x14ac:dyDescent="0.25">
      <c r="A20" s="2334" t="s">
        <v>468</v>
      </c>
      <c r="B20" s="2335"/>
      <c r="C20" s="725"/>
      <c r="D20" s="583"/>
      <c r="E20" s="725"/>
      <c r="F20" s="1775">
        <f>SUM(C20+D20)-E20</f>
        <v>0</v>
      </c>
    </row>
    <row r="21" spans="1:11" ht="14.25" thickTop="1" thickBot="1" x14ac:dyDescent="0.25">
      <c r="A21" s="2339" t="s">
        <v>653</v>
      </c>
      <c r="B21" s="2340"/>
      <c r="C21" s="1775">
        <f>SUM(C17:C20)</f>
        <v>0</v>
      </c>
      <c r="D21" s="1775">
        <f>SUM(D17:D20)</f>
        <v>0</v>
      </c>
      <c r="E21" s="1775">
        <f>SUM(E17:E20)</f>
        <v>0</v>
      </c>
      <c r="F21" s="1775">
        <f>SUM(F17:F20)</f>
        <v>0</v>
      </c>
      <c r="G21" s="550"/>
    </row>
    <row r="22" spans="1:11" ht="15.95" customHeight="1" thickTop="1" x14ac:dyDescent="0.2">
      <c r="A22" s="2341" t="s">
        <v>1174</v>
      </c>
      <c r="B22" s="2342"/>
      <c r="C22" s="2336"/>
      <c r="D22" s="2337"/>
      <c r="E22" s="2337"/>
      <c r="F22" s="2338"/>
    </row>
    <row r="23" spans="1:11" ht="13.5" thickBot="1" x14ac:dyDescent="0.25">
      <c r="A23" s="2343" t="s">
        <v>654</v>
      </c>
      <c r="B23" s="2344"/>
      <c r="C23" s="579"/>
      <c r="D23" s="579"/>
      <c r="E23" s="579"/>
      <c r="F23" s="1775">
        <f>SUM(C23+D23)-E23</f>
        <v>0</v>
      </c>
      <c r="G23" s="550"/>
    </row>
    <row r="24" spans="1:11" ht="15.95" customHeight="1" thickTop="1" x14ac:dyDescent="0.2">
      <c r="A24" s="2341" t="s">
        <v>1175</v>
      </c>
      <c r="B24" s="2342"/>
      <c r="C24" s="2336"/>
      <c r="D24" s="2337"/>
      <c r="E24" s="2337"/>
      <c r="F24" s="2338"/>
    </row>
    <row r="25" spans="1:11" ht="13.5" thickBot="1" x14ac:dyDescent="0.25">
      <c r="A25" s="2343" t="s">
        <v>655</v>
      </c>
      <c r="B25" s="2344"/>
      <c r="C25" s="579"/>
      <c r="D25" s="579"/>
      <c r="E25" s="579"/>
      <c r="F25" s="1775">
        <f>SUM(C25+D25)-E25</f>
        <v>0</v>
      </c>
      <c r="G25" s="550"/>
    </row>
    <row r="26" spans="1:11" ht="15.95" customHeight="1" thickTop="1" x14ac:dyDescent="0.2">
      <c r="A26" s="2347" t="s">
        <v>678</v>
      </c>
      <c r="B26" s="2342"/>
      <c r="C26" s="726"/>
      <c r="D26" s="726"/>
      <c r="E26" s="726"/>
      <c r="F26" s="727"/>
    </row>
    <row r="27" spans="1:11" ht="13.5" thickBot="1" x14ac:dyDescent="0.25">
      <c r="A27" s="2339" t="s">
        <v>1130</v>
      </c>
      <c r="B27" s="2340"/>
      <c r="C27" s="583"/>
      <c r="D27" s="583"/>
      <c r="E27" s="583"/>
      <c r="F27" s="1775">
        <f>SUM(C27+D27)-E27</f>
        <v>0</v>
      </c>
      <c r="G27" s="550"/>
    </row>
    <row r="28" spans="1:11" ht="7.5" customHeight="1" thickTop="1" x14ac:dyDescent="0.2">
      <c r="A28" s="592"/>
    </row>
    <row r="29" spans="1:11" ht="23.45" customHeight="1" x14ac:dyDescent="0.2">
      <c r="A29" s="2345" t="s">
        <v>603</v>
      </c>
      <c r="B29" s="2346"/>
      <c r="C29" s="728"/>
      <c r="D29" s="728"/>
      <c r="E29" s="728"/>
      <c r="F29" s="728"/>
      <c r="G29" s="728"/>
      <c r="H29" s="728"/>
      <c r="I29" s="728"/>
      <c r="J29" s="728"/>
    </row>
    <row r="30" spans="1:11" ht="33.75" x14ac:dyDescent="0.2">
      <c r="A30" s="1549" t="s">
        <v>1131</v>
      </c>
      <c r="B30" s="729" t="s">
        <v>1186</v>
      </c>
      <c r="C30" s="1908" t="s">
        <v>604</v>
      </c>
      <c r="D30" s="1908" t="s">
        <v>1772</v>
      </c>
      <c r="E30" s="1908" t="s">
        <v>2037</v>
      </c>
      <c r="F30" s="1908" t="s">
        <v>2038</v>
      </c>
      <c r="G30" s="1908" t="s">
        <v>2041</v>
      </c>
      <c r="H30" s="1908" t="s">
        <v>2039</v>
      </c>
      <c r="I30" s="1908" t="s">
        <v>2040</v>
      </c>
      <c r="J30" s="1909" t="s">
        <v>2</v>
      </c>
      <c r="K30" s="730"/>
    </row>
    <row r="31" spans="1:11" ht="12" customHeight="1" x14ac:dyDescent="0.2">
      <c r="A31" s="731"/>
      <c r="B31" s="732"/>
      <c r="C31" s="733"/>
      <c r="D31" s="734"/>
      <c r="E31" s="733"/>
      <c r="F31" s="733"/>
      <c r="G31" s="733"/>
      <c r="H31" s="733"/>
      <c r="I31" s="1776">
        <f>((E31+F31)-H31)+G31</f>
        <v>0</v>
      </c>
      <c r="J31" s="733"/>
      <c r="K31" s="735"/>
    </row>
    <row r="32" spans="1:11" ht="12" customHeight="1" x14ac:dyDescent="0.2">
      <c r="A32" s="731"/>
      <c r="B32" s="732"/>
      <c r="C32" s="733"/>
      <c r="D32" s="734"/>
      <c r="E32" s="733"/>
      <c r="F32" s="733"/>
      <c r="G32" s="733"/>
      <c r="H32" s="733"/>
      <c r="I32" s="1776">
        <f>((E32+F32)-H32)+G32</f>
        <v>0</v>
      </c>
      <c r="J32" s="733"/>
      <c r="K32" s="735"/>
    </row>
    <row r="33" spans="1:11" ht="12" customHeight="1" x14ac:dyDescent="0.2">
      <c r="A33" s="731"/>
      <c r="B33" s="732"/>
      <c r="C33" s="733"/>
      <c r="D33" s="734"/>
      <c r="E33" s="733"/>
      <c r="F33" s="733"/>
      <c r="G33" s="733"/>
      <c r="H33" s="733"/>
      <c r="I33" s="1776">
        <f t="shared" ref="I33:I48" si="1">((E33+F33)-H33)+G33</f>
        <v>0</v>
      </c>
      <c r="J33" s="733"/>
      <c r="K33" s="735"/>
    </row>
    <row r="34" spans="1:11" ht="12" customHeight="1" x14ac:dyDescent="0.2">
      <c r="A34" s="731"/>
      <c r="B34" s="732"/>
      <c r="C34" s="733"/>
      <c r="D34" s="734"/>
      <c r="E34" s="733"/>
      <c r="F34" s="733"/>
      <c r="G34" s="733"/>
      <c r="H34" s="733"/>
      <c r="I34" s="1776">
        <f t="shared" si="1"/>
        <v>0</v>
      </c>
      <c r="J34" s="733"/>
      <c r="K34" s="736"/>
    </row>
    <row r="35" spans="1:11" ht="12" customHeight="1" x14ac:dyDescent="0.2">
      <c r="A35" s="731"/>
      <c r="B35" s="732"/>
      <c r="C35" s="737"/>
      <c r="D35" s="734"/>
      <c r="E35" s="737"/>
      <c r="F35" s="737"/>
      <c r="G35" s="737"/>
      <c r="H35" s="737"/>
      <c r="I35" s="1776">
        <f t="shared" si="1"/>
        <v>0</v>
      </c>
      <c r="J35" s="737"/>
      <c r="K35" s="736"/>
    </row>
    <row r="36" spans="1:11" ht="12" customHeight="1" x14ac:dyDescent="0.2">
      <c r="A36" s="731"/>
      <c r="B36" s="732"/>
      <c r="C36" s="733"/>
      <c r="D36" s="734"/>
      <c r="E36" s="733"/>
      <c r="F36" s="733"/>
      <c r="G36" s="733"/>
      <c r="H36" s="733"/>
      <c r="I36" s="1776">
        <f t="shared" si="1"/>
        <v>0</v>
      </c>
      <c r="J36" s="733"/>
      <c r="K36" s="738"/>
    </row>
    <row r="37" spans="1:11" ht="12" customHeight="1" x14ac:dyDescent="0.2">
      <c r="A37" s="731"/>
      <c r="B37" s="732"/>
      <c r="C37" s="467"/>
      <c r="D37" s="739"/>
      <c r="E37" s="467"/>
      <c r="F37" s="467"/>
      <c r="G37" s="467"/>
      <c r="H37" s="467"/>
      <c r="I37" s="1776">
        <f t="shared" si="1"/>
        <v>0</v>
      </c>
      <c r="J37" s="467"/>
      <c r="K37" s="736"/>
    </row>
    <row r="38" spans="1:11" ht="12" customHeight="1" x14ac:dyDescent="0.2">
      <c r="A38" s="731"/>
      <c r="B38" s="732"/>
      <c r="C38" s="733"/>
      <c r="D38" s="740"/>
      <c r="E38" s="741"/>
      <c r="F38" s="741"/>
      <c r="G38" s="741"/>
      <c r="H38" s="741"/>
      <c r="I38" s="1776">
        <f t="shared" si="1"/>
        <v>0</v>
      </c>
      <c r="J38" s="742" t="s">
        <v>282</v>
      </c>
      <c r="K38" s="743"/>
    </row>
    <row r="39" spans="1:11" ht="12" customHeight="1" x14ac:dyDescent="0.2">
      <c r="A39" s="731"/>
      <c r="B39" s="732"/>
      <c r="C39" s="733"/>
      <c r="D39" s="740"/>
      <c r="E39" s="741"/>
      <c r="F39" s="741"/>
      <c r="G39" s="741"/>
      <c r="H39" s="741"/>
      <c r="I39" s="1776">
        <f t="shared" si="1"/>
        <v>0</v>
      </c>
      <c r="J39" s="742"/>
      <c r="K39" s="743"/>
    </row>
    <row r="40" spans="1:11" ht="12" customHeight="1" x14ac:dyDescent="0.2">
      <c r="A40" s="731"/>
      <c r="B40" s="732"/>
      <c r="C40" s="733"/>
      <c r="D40" s="740"/>
      <c r="E40" s="741"/>
      <c r="F40" s="741"/>
      <c r="G40" s="741"/>
      <c r="H40" s="741"/>
      <c r="I40" s="1776">
        <f t="shared" si="1"/>
        <v>0</v>
      </c>
      <c r="J40" s="742"/>
      <c r="K40" s="743"/>
    </row>
    <row r="41" spans="1:11" ht="12" customHeight="1" x14ac:dyDescent="0.2">
      <c r="A41" s="731"/>
      <c r="B41" s="732"/>
      <c r="C41" s="733"/>
      <c r="D41" s="740"/>
      <c r="E41" s="741"/>
      <c r="F41" s="741"/>
      <c r="G41" s="741"/>
      <c r="H41" s="741"/>
      <c r="I41" s="1776">
        <f t="shared" si="1"/>
        <v>0</v>
      </c>
      <c r="J41" s="742"/>
      <c r="K41" s="743"/>
    </row>
    <row r="42" spans="1:11" ht="12" customHeight="1" x14ac:dyDescent="0.2">
      <c r="A42" s="731"/>
      <c r="B42" s="732"/>
      <c r="C42" s="733"/>
      <c r="D42" s="740"/>
      <c r="E42" s="741"/>
      <c r="F42" s="741"/>
      <c r="G42" s="741"/>
      <c r="H42" s="741"/>
      <c r="I42" s="1776">
        <f t="shared" si="1"/>
        <v>0</v>
      </c>
      <c r="J42" s="742"/>
      <c r="K42" s="743"/>
    </row>
    <row r="43" spans="1:11" ht="12" customHeight="1" x14ac:dyDescent="0.2">
      <c r="A43" s="731"/>
      <c r="B43" s="732"/>
      <c r="C43" s="733"/>
      <c r="D43" s="740"/>
      <c r="E43" s="741"/>
      <c r="F43" s="741"/>
      <c r="G43" s="741"/>
      <c r="H43" s="741"/>
      <c r="I43" s="1776">
        <f t="shared" si="1"/>
        <v>0</v>
      </c>
      <c r="J43" s="742"/>
      <c r="K43" s="743"/>
    </row>
    <row r="44" spans="1:11" ht="12" customHeight="1" x14ac:dyDescent="0.2">
      <c r="A44" s="731"/>
      <c r="B44" s="732"/>
      <c r="C44" s="733"/>
      <c r="D44" s="734"/>
      <c r="E44" s="733"/>
      <c r="F44" s="733"/>
      <c r="G44" s="733"/>
      <c r="H44" s="733"/>
      <c r="I44" s="1776">
        <f t="shared" si="1"/>
        <v>0</v>
      </c>
      <c r="J44" s="733"/>
      <c r="K44" s="736"/>
    </row>
    <row r="45" spans="1:11" ht="12" customHeight="1" x14ac:dyDescent="0.2">
      <c r="A45" s="731"/>
      <c r="B45" s="732"/>
      <c r="C45" s="733"/>
      <c r="D45" s="734"/>
      <c r="E45" s="733"/>
      <c r="F45" s="733"/>
      <c r="G45" s="733"/>
      <c r="H45" s="733"/>
      <c r="I45" s="1776">
        <f t="shared" si="1"/>
        <v>0</v>
      </c>
      <c r="J45" s="733"/>
      <c r="K45" s="736"/>
    </row>
    <row r="46" spans="1:11" ht="12" customHeight="1" x14ac:dyDescent="0.2">
      <c r="A46" s="731"/>
      <c r="B46" s="732"/>
      <c r="C46" s="733"/>
      <c r="D46" s="734"/>
      <c r="E46" s="733"/>
      <c r="F46" s="733"/>
      <c r="G46" s="733"/>
      <c r="H46" s="733"/>
      <c r="I46" s="1776">
        <f t="shared" si="1"/>
        <v>0</v>
      </c>
      <c r="J46" s="733"/>
      <c r="K46" s="736"/>
    </row>
    <row r="47" spans="1:11" ht="12" customHeight="1" x14ac:dyDescent="0.2">
      <c r="A47" s="731"/>
      <c r="B47" s="732"/>
      <c r="C47" s="737"/>
      <c r="D47" s="734"/>
      <c r="E47" s="737"/>
      <c r="F47" s="737"/>
      <c r="G47" s="737"/>
      <c r="H47" s="737"/>
      <c r="I47" s="1776">
        <f t="shared" si="1"/>
        <v>0</v>
      </c>
      <c r="J47" s="737"/>
      <c r="K47" s="736"/>
    </row>
    <row r="48" spans="1:11" ht="12" customHeight="1" x14ac:dyDescent="0.2">
      <c r="A48" s="731"/>
      <c r="B48" s="732"/>
      <c r="C48" s="733"/>
      <c r="D48" s="734"/>
      <c r="E48" s="733"/>
      <c r="F48" s="733"/>
      <c r="G48" s="733"/>
      <c r="H48" s="733"/>
      <c r="I48" s="1776">
        <f t="shared" si="1"/>
        <v>0</v>
      </c>
      <c r="J48" s="733"/>
      <c r="K48" s="736"/>
    </row>
    <row r="49" spans="1:11" ht="12" customHeight="1" x14ac:dyDescent="0.2">
      <c r="A49" s="731"/>
      <c r="B49" s="732"/>
      <c r="C49" s="1776">
        <f>SUM(C31:C48)</f>
        <v>0</v>
      </c>
      <c r="D49" s="744"/>
      <c r="E49" s="1776">
        <f t="shared" ref="E49:J49" si="2">SUM(E31:E48)</f>
        <v>0</v>
      </c>
      <c r="F49" s="1776">
        <f t="shared" si="2"/>
        <v>0</v>
      </c>
      <c r="G49" s="1776">
        <f t="shared" si="2"/>
        <v>0</v>
      </c>
      <c r="H49" s="1776">
        <f t="shared" si="2"/>
        <v>0</v>
      </c>
      <c r="I49" s="1776">
        <f t="shared" si="2"/>
        <v>0</v>
      </c>
      <c r="J49" s="1776">
        <f t="shared" si="2"/>
        <v>0</v>
      </c>
      <c r="K49" s="736"/>
    </row>
    <row r="50" spans="1:11" ht="6" customHeight="1" x14ac:dyDescent="0.2">
      <c r="A50" s="745"/>
      <c r="B50" s="735"/>
      <c r="C50" s="735"/>
      <c r="D50" s="735"/>
      <c r="E50" s="735"/>
      <c r="F50" s="735"/>
      <c r="G50" s="735"/>
      <c r="H50" s="735"/>
      <c r="I50" s="735"/>
      <c r="J50" s="745"/>
    </row>
    <row r="51" spans="1:11" x14ac:dyDescent="0.2">
      <c r="A51" s="746" t="s">
        <v>1911</v>
      </c>
      <c r="B51" s="745"/>
      <c r="C51" s="736"/>
      <c r="D51" s="736"/>
      <c r="E51" s="736"/>
      <c r="F51" s="736"/>
      <c r="G51" s="736"/>
      <c r="H51" s="735"/>
      <c r="I51" s="735"/>
      <c r="J51" s="745"/>
    </row>
    <row r="52" spans="1:11" ht="11.25" customHeight="1" x14ac:dyDescent="0.2">
      <c r="A52" s="747" t="s">
        <v>968</v>
      </c>
      <c r="B52" s="2328" t="s">
        <v>605</v>
      </c>
      <c r="C52" s="2329"/>
      <c r="D52" s="2329"/>
      <c r="E52" s="748" t="s">
        <v>900</v>
      </c>
      <c r="F52" s="2330"/>
      <c r="G52" s="2331"/>
      <c r="H52" s="735"/>
      <c r="I52" s="735"/>
      <c r="J52" s="745"/>
    </row>
    <row r="53" spans="1:11" ht="11.25" customHeight="1" x14ac:dyDescent="0.2">
      <c r="A53" s="749" t="s">
        <v>969</v>
      </c>
      <c r="B53" s="750" t="s">
        <v>1008</v>
      </c>
      <c r="C53" s="745"/>
      <c r="D53" s="736"/>
      <c r="E53" s="748" t="s">
        <v>518</v>
      </c>
      <c r="F53" s="2332"/>
      <c r="G53" s="2333"/>
      <c r="H53" s="735"/>
      <c r="I53" s="735"/>
      <c r="J53" s="745"/>
    </row>
    <row r="54" spans="1:11" ht="11.25" customHeight="1" x14ac:dyDescent="0.2">
      <c r="A54" s="751" t="s">
        <v>970</v>
      </c>
      <c r="B54" s="746" t="s">
        <v>1009</v>
      </c>
      <c r="C54" s="745"/>
      <c r="D54" s="736"/>
      <c r="E54" s="748" t="s">
        <v>519</v>
      </c>
      <c r="F54" s="2332"/>
      <c r="G54" s="2333"/>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57" t="s">
        <v>911</v>
      </c>
      <c r="B1" s="2358"/>
      <c r="C1" s="2358"/>
      <c r="D1" s="2358"/>
      <c r="E1" s="2358"/>
      <c r="F1" s="2358"/>
      <c r="G1" s="2359"/>
      <c r="H1" s="1550"/>
      <c r="I1" s="759"/>
      <c r="J1" s="433"/>
    </row>
    <row r="2" spans="1:11" ht="26.25" x14ac:dyDescent="0.2">
      <c r="A2" s="2376" t="s">
        <v>1776</v>
      </c>
      <c r="B2" s="2377"/>
      <c r="C2" s="2377"/>
      <c r="D2" s="2377"/>
      <c r="E2" s="2378"/>
      <c r="F2" s="760" t="s">
        <v>960</v>
      </c>
      <c r="G2" s="761" t="s">
        <v>1773</v>
      </c>
      <c r="H2" s="761" t="s">
        <v>430</v>
      </c>
      <c r="I2" s="761" t="s">
        <v>1220</v>
      </c>
      <c r="J2" s="761" t="s">
        <v>1916</v>
      </c>
      <c r="K2" s="761" t="s">
        <v>140</v>
      </c>
    </row>
    <row r="3" spans="1:11" x14ac:dyDescent="0.2">
      <c r="A3" s="2379" t="s">
        <v>1698</v>
      </c>
      <c r="B3" s="2380"/>
      <c r="C3" s="2380"/>
      <c r="D3" s="2380"/>
      <c r="E3" s="2381"/>
      <c r="F3" s="762"/>
      <c r="G3" s="763"/>
      <c r="H3" s="763"/>
      <c r="I3" s="763"/>
      <c r="J3" s="764"/>
      <c r="K3" s="764"/>
    </row>
    <row r="4" spans="1:11" x14ac:dyDescent="0.2">
      <c r="A4" s="2382" t="s">
        <v>387</v>
      </c>
      <c r="B4" s="2383"/>
      <c r="C4" s="2383"/>
      <c r="D4" s="2383"/>
      <c r="E4" s="2329"/>
      <c r="F4" s="765"/>
      <c r="G4" s="766"/>
      <c r="H4" s="767"/>
      <c r="I4" s="766"/>
      <c r="J4" s="768"/>
      <c r="K4" s="768"/>
    </row>
    <row r="5" spans="1:11" x14ac:dyDescent="0.2">
      <c r="A5" s="2360" t="s">
        <v>1129</v>
      </c>
      <c r="B5" s="2361"/>
      <c r="C5" s="2361"/>
      <c r="D5" s="2361"/>
      <c r="E5" s="2362"/>
      <c r="F5" s="769" t="s">
        <v>903</v>
      </c>
      <c r="G5" s="770"/>
      <c r="H5" s="763"/>
      <c r="I5" s="771"/>
      <c r="J5" s="772"/>
      <c r="K5" s="772"/>
    </row>
    <row r="6" spans="1:11" x14ac:dyDescent="0.2">
      <c r="A6" s="773" t="s">
        <v>744</v>
      </c>
      <c r="B6" s="774"/>
      <c r="C6" s="774"/>
      <c r="D6" s="774"/>
      <c r="E6" s="775"/>
      <c r="F6" s="776" t="s">
        <v>904</v>
      </c>
      <c r="G6" s="763"/>
      <c r="H6" s="763"/>
      <c r="I6" s="763"/>
      <c r="J6" s="764"/>
      <c r="K6" s="764"/>
    </row>
    <row r="7" spans="1:11" x14ac:dyDescent="0.2">
      <c r="A7" s="777" t="s">
        <v>264</v>
      </c>
      <c r="B7" s="778"/>
      <c r="C7" s="778"/>
      <c r="D7" s="778"/>
      <c r="E7" s="779"/>
      <c r="F7" s="769" t="s">
        <v>905</v>
      </c>
      <c r="G7" s="766"/>
      <c r="H7" s="766"/>
      <c r="I7" s="766"/>
      <c r="J7" s="780"/>
      <c r="K7" s="764"/>
    </row>
    <row r="8" spans="1:11" x14ac:dyDescent="0.2">
      <c r="A8" s="777" t="s">
        <v>363</v>
      </c>
      <c r="B8" s="778"/>
      <c r="C8" s="778"/>
      <c r="D8" s="778"/>
      <c r="E8" s="779"/>
      <c r="F8" s="769" t="s">
        <v>906</v>
      </c>
      <c r="G8" s="781"/>
      <c r="H8" s="781"/>
      <c r="I8" s="781"/>
      <c r="J8" s="764"/>
      <c r="K8" s="768"/>
    </row>
    <row r="9" spans="1:11" x14ac:dyDescent="0.2">
      <c r="A9" s="777" t="s">
        <v>140</v>
      </c>
      <c r="B9" s="778"/>
      <c r="C9" s="778"/>
      <c r="D9" s="778"/>
      <c r="E9" s="779"/>
      <c r="F9" s="776" t="s">
        <v>908</v>
      </c>
      <c r="G9" s="781"/>
      <c r="H9" s="770"/>
      <c r="I9" s="770"/>
      <c r="J9" s="780"/>
      <c r="K9" s="764"/>
    </row>
    <row r="10" spans="1:11" x14ac:dyDescent="0.2">
      <c r="A10" s="2360" t="s">
        <v>1917</v>
      </c>
      <c r="B10" s="2361"/>
      <c r="C10" s="2361"/>
      <c r="D10" s="2361"/>
      <c r="E10" s="2363"/>
      <c r="F10" s="782" t="s">
        <v>917</v>
      </c>
      <c r="G10" s="781"/>
      <c r="H10" s="783"/>
      <c r="I10" s="763"/>
      <c r="J10" s="764"/>
      <c r="K10" s="764"/>
    </row>
    <row r="11" spans="1:11" x14ac:dyDescent="0.2">
      <c r="A11" s="2360" t="s">
        <v>162</v>
      </c>
      <c r="B11" s="2361"/>
      <c r="C11" s="2361"/>
      <c r="D11" s="2361"/>
      <c r="E11" s="2362"/>
      <c r="F11" s="769" t="s">
        <v>907</v>
      </c>
      <c r="G11" s="770"/>
      <c r="H11" s="763"/>
      <c r="I11" s="763"/>
      <c r="J11" s="764"/>
      <c r="K11" s="772"/>
    </row>
    <row r="12" spans="1:11" ht="13.5" thickBot="1" x14ac:dyDescent="0.25">
      <c r="A12" s="2387" t="s">
        <v>961</v>
      </c>
      <c r="B12" s="2388"/>
      <c r="C12" s="2388"/>
      <c r="D12" s="2388"/>
      <c r="E12" s="2389"/>
      <c r="F12" s="1777"/>
      <c r="G12" s="1778">
        <f>SUM(G5:G11)</f>
        <v>0</v>
      </c>
      <c r="H12" s="1778">
        <f>SUM(H5:H11)</f>
        <v>0</v>
      </c>
      <c r="I12" s="1778">
        <f>SUM(I5:I11)</f>
        <v>0</v>
      </c>
      <c r="J12" s="1778">
        <f>SUM(J5:J11)</f>
        <v>0</v>
      </c>
      <c r="K12" s="1778">
        <f>SUM(K5:K11)</f>
        <v>0</v>
      </c>
    </row>
    <row r="13" spans="1:11" ht="13.5" thickTop="1" x14ac:dyDescent="0.2">
      <c r="A13" s="2384" t="s">
        <v>388</v>
      </c>
      <c r="B13" s="2385"/>
      <c r="C13" s="2385"/>
      <c r="D13" s="2385"/>
      <c r="E13" s="2386"/>
      <c r="F13" s="784"/>
      <c r="G13" s="785"/>
      <c r="H13" s="786"/>
      <c r="I13" s="787"/>
      <c r="J13" s="787"/>
      <c r="K13" s="787"/>
    </row>
    <row r="14" spans="1:11" x14ac:dyDescent="0.2">
      <c r="A14" s="2367" t="s">
        <v>476</v>
      </c>
      <c r="B14" s="2367"/>
      <c r="C14" s="2367"/>
      <c r="D14" s="2367"/>
      <c r="E14" s="2368"/>
      <c r="F14" s="788" t="s">
        <v>909</v>
      </c>
      <c r="G14" s="781"/>
      <c r="H14" s="763"/>
      <c r="I14" s="770"/>
      <c r="J14" s="772"/>
      <c r="K14" s="764"/>
    </row>
    <row r="15" spans="1:11" x14ac:dyDescent="0.2">
      <c r="A15" s="2361" t="s">
        <v>4</v>
      </c>
      <c r="B15" s="2361"/>
      <c r="C15" s="2361"/>
      <c r="D15" s="2361"/>
      <c r="E15" s="2362"/>
      <c r="F15" s="788" t="s">
        <v>910</v>
      </c>
      <c r="G15" s="770"/>
      <c r="H15" s="763"/>
      <c r="I15" s="763"/>
      <c r="J15" s="764"/>
      <c r="K15" s="764"/>
    </row>
    <row r="16" spans="1:11" x14ac:dyDescent="0.2">
      <c r="A16" s="2361" t="s">
        <v>316</v>
      </c>
      <c r="B16" s="2361"/>
      <c r="C16" s="2361"/>
      <c r="D16" s="2361"/>
      <c r="E16" s="2362"/>
      <c r="F16" s="788" t="s">
        <v>980</v>
      </c>
      <c r="G16" s="771"/>
      <c r="H16" s="766"/>
      <c r="I16" s="766"/>
      <c r="J16" s="768"/>
      <c r="K16" s="768"/>
    </row>
    <row r="17" spans="1:11" x14ac:dyDescent="0.2">
      <c r="A17" s="2392" t="s">
        <v>992</v>
      </c>
      <c r="B17" s="2392"/>
      <c r="C17" s="2392"/>
      <c r="D17" s="2392"/>
      <c r="E17" s="2393"/>
      <c r="F17" s="789"/>
      <c r="G17" s="790"/>
      <c r="H17" s="791"/>
      <c r="I17" s="791"/>
      <c r="J17" s="792"/>
      <c r="K17" s="793"/>
    </row>
    <row r="18" spans="1:11" x14ac:dyDescent="0.2">
      <c r="A18" s="2371" t="s">
        <v>386</v>
      </c>
      <c r="B18" s="2372"/>
      <c r="C18" s="2372"/>
      <c r="D18" s="2372"/>
      <c r="E18" s="2373"/>
      <c r="F18" s="788" t="s">
        <v>989</v>
      </c>
      <c r="G18" s="781"/>
      <c r="H18" s="781"/>
      <c r="I18" s="781"/>
      <c r="J18" s="764"/>
      <c r="K18" s="794"/>
    </row>
    <row r="19" spans="1:11" ht="21.75" customHeight="1" x14ac:dyDescent="0.2">
      <c r="A19" s="2369" t="s">
        <v>1913</v>
      </c>
      <c r="B19" s="2369"/>
      <c r="C19" s="2369"/>
      <c r="D19" s="2369"/>
      <c r="E19" s="2370"/>
      <c r="F19" s="788" t="s">
        <v>990</v>
      </c>
      <c r="G19" s="781"/>
      <c r="H19" s="781"/>
      <c r="I19" s="781"/>
      <c r="J19" s="764"/>
      <c r="K19" s="794"/>
    </row>
    <row r="20" spans="1:11" x14ac:dyDescent="0.2">
      <c r="A20" s="2371" t="s">
        <v>1918</v>
      </c>
      <c r="B20" s="2372"/>
      <c r="C20" s="2372"/>
      <c r="D20" s="2372"/>
      <c r="E20" s="2373"/>
      <c r="F20" s="788" t="s">
        <v>991</v>
      </c>
      <c r="G20" s="781"/>
      <c r="H20" s="781"/>
      <c r="I20" s="781"/>
      <c r="J20" s="764"/>
      <c r="K20" s="794"/>
    </row>
    <row r="21" spans="1:11" ht="13.5" thickBot="1" x14ac:dyDescent="0.25">
      <c r="A21" s="2390" t="s">
        <v>659</v>
      </c>
      <c r="B21" s="2390"/>
      <c r="C21" s="2390"/>
      <c r="D21" s="2390"/>
      <c r="E21" s="2390"/>
      <c r="F21" s="1779"/>
      <c r="G21" s="791"/>
      <c r="H21" s="795"/>
      <c r="I21" s="795"/>
      <c r="J21" s="1780">
        <f>SUM(J18:J20)</f>
        <v>0</v>
      </c>
      <c r="K21" s="792"/>
    </row>
    <row r="22" spans="1:11" ht="13.5" thickTop="1" x14ac:dyDescent="0.2">
      <c r="A22" s="2361" t="s">
        <v>1919</v>
      </c>
      <c r="B22" s="2361"/>
      <c r="C22" s="2361"/>
      <c r="D22" s="2361"/>
      <c r="E22" s="2362"/>
      <c r="F22" s="788" t="s">
        <v>917</v>
      </c>
      <c r="G22" s="781"/>
      <c r="H22" s="763"/>
      <c r="I22" s="763"/>
      <c r="J22" s="796"/>
      <c r="K22" s="764"/>
    </row>
    <row r="23" spans="1:11" ht="13.5" thickBot="1" x14ac:dyDescent="0.25">
      <c r="A23" s="2391" t="s">
        <v>962</v>
      </c>
      <c r="B23" s="2390"/>
      <c r="C23" s="2390"/>
      <c r="D23" s="2390"/>
      <c r="E23" s="2390"/>
      <c r="F23" s="1781"/>
      <c r="G23" s="1778">
        <f>SUM(G14:G16,G21,G22)</f>
        <v>0</v>
      </c>
      <c r="H23" s="1778">
        <f>SUM(H14:H16,H21,H22)</f>
        <v>0</v>
      </c>
      <c r="I23" s="1778">
        <f>SUM(I14:I16,I21,I22)</f>
        <v>0</v>
      </c>
      <c r="J23" s="1778">
        <f>SUM(J14:J16,J21,J22)</f>
        <v>0</v>
      </c>
      <c r="K23" s="1778">
        <f>SUM(K14:K16,K21,K22)</f>
        <v>0</v>
      </c>
    </row>
    <row r="24" spans="1:11" ht="14.25" thickTop="1" thickBot="1" x14ac:dyDescent="0.25">
      <c r="A24" s="2391" t="s">
        <v>2023</v>
      </c>
      <c r="B24" s="2390"/>
      <c r="C24" s="2390"/>
      <c r="D24" s="2390"/>
      <c r="E24" s="2390"/>
      <c r="F24" s="1782"/>
      <c r="G24" s="1783">
        <f>SUM(G3,G12)-G23</f>
        <v>0</v>
      </c>
      <c r="H24" s="1783">
        <f>SUM(H3,H12)-H23</f>
        <v>0</v>
      </c>
      <c r="I24" s="1783">
        <f>SUM(I3,I12)-I23</f>
        <v>0</v>
      </c>
      <c r="J24" s="1783">
        <f>SUM(J3,J12)-J23</f>
        <v>0</v>
      </c>
      <c r="K24" s="1783">
        <f>SUM(K3,K12)-K23</f>
        <v>0</v>
      </c>
    </row>
    <row r="25" spans="1:11" ht="13.5" thickTop="1" x14ac:dyDescent="0.2">
      <c r="A25" s="797" t="s">
        <v>440</v>
      </c>
      <c r="B25" s="798"/>
      <c r="C25" s="798"/>
      <c r="D25" s="798"/>
      <c r="E25" s="799"/>
      <c r="F25" s="800">
        <v>714</v>
      </c>
      <c r="G25" s="801"/>
      <c r="H25" s="801"/>
      <c r="I25" s="801"/>
      <c r="J25" s="796"/>
      <c r="K25" s="796"/>
    </row>
    <row r="26" spans="1:11" ht="13.5" thickBot="1" x14ac:dyDescent="0.25">
      <c r="A26" s="797" t="s">
        <v>360</v>
      </c>
      <c r="B26" s="798"/>
      <c r="C26" s="798"/>
      <c r="D26" s="798"/>
      <c r="E26" s="799"/>
      <c r="F26" s="800">
        <v>730</v>
      </c>
      <c r="G26" s="1778">
        <f>G24-G25</f>
        <v>0</v>
      </c>
      <c r="H26" s="1778">
        <f>H24-H25</f>
        <v>0</v>
      </c>
      <c r="I26" s="1778">
        <f>I24-I25</f>
        <v>0</v>
      </c>
      <c r="J26" s="1778">
        <f>J24-J25</f>
        <v>0</v>
      </c>
      <c r="K26" s="1778">
        <f>K24-K25</f>
        <v>0</v>
      </c>
    </row>
    <row r="27" spans="1:11" ht="5.45" customHeight="1" thickTop="1" x14ac:dyDescent="0.2">
      <c r="I27" s="202"/>
      <c r="J27" s="202"/>
    </row>
    <row r="28" spans="1:11" ht="29.25" customHeight="1" x14ac:dyDescent="0.2">
      <c r="A28" s="1903" t="s">
        <v>2033</v>
      </c>
      <c r="B28" s="1904"/>
      <c r="C28" s="1904"/>
      <c r="D28" s="1904"/>
      <c r="E28" s="1905"/>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364"/>
      <c r="I31" s="2365"/>
      <c r="J31" s="2365"/>
      <c r="K31" s="2365"/>
    </row>
    <row r="32" spans="1:11" x14ac:dyDescent="0.2">
      <c r="A32" s="808"/>
      <c r="B32" s="237"/>
      <c r="C32" s="237"/>
      <c r="D32" s="237"/>
      <c r="E32" s="804"/>
      <c r="F32" s="810" t="s">
        <v>561</v>
      </c>
      <c r="G32" s="763"/>
      <c r="H32" s="2366"/>
      <c r="I32" s="2365"/>
      <c r="J32" s="2365"/>
      <c r="K32" s="2365"/>
    </row>
    <row r="33" spans="1:11" ht="1.7" customHeight="1" x14ac:dyDescent="0.2">
      <c r="A33" s="811" t="s">
        <v>1231</v>
      </c>
      <c r="B33" s="364"/>
      <c r="C33" s="364"/>
      <c r="D33" s="364"/>
      <c r="E33" s="364"/>
      <c r="F33" s="364"/>
      <c r="G33" s="812"/>
      <c r="H33" s="2366"/>
      <c r="I33" s="2365"/>
      <c r="J33" s="2365"/>
      <c r="K33" s="2365"/>
    </row>
    <row r="34" spans="1:11" x14ac:dyDescent="0.2">
      <c r="A34" s="813" t="s">
        <v>1920</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361" t="s">
        <v>562</v>
      </c>
      <c r="B41" s="2374"/>
      <c r="C41" s="2374"/>
      <c r="D41" s="2374"/>
      <c r="E41" s="2374"/>
      <c r="F41" s="2375"/>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1" t="s">
        <v>1914</v>
      </c>
      <c r="B46" s="408" t="s">
        <v>1774</v>
      </c>
    </row>
    <row r="47" spans="1:11" s="822" customFormat="1" ht="12.75" customHeight="1" x14ac:dyDescent="0.2">
      <c r="A47" s="820"/>
      <c r="B47" s="821" t="s">
        <v>1775</v>
      </c>
      <c r="E47" s="821"/>
      <c r="K47" s="823"/>
    </row>
    <row r="48" spans="1:11" ht="12.75" customHeight="1" x14ac:dyDescent="0.2">
      <c r="A48" s="1552"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96" t="s">
        <v>2032</v>
      </c>
      <c r="B1" s="2397"/>
      <c r="C1" s="2398"/>
      <c r="D1" s="825"/>
      <c r="E1" s="826"/>
      <c r="F1" s="826"/>
      <c r="G1" s="827"/>
      <c r="H1" s="828"/>
      <c r="I1" s="829"/>
      <c r="J1" s="2394"/>
      <c r="K1" s="2395"/>
      <c r="L1" s="2395"/>
    </row>
    <row r="2" spans="1:14" ht="69.95" customHeight="1" x14ac:dyDescent="0.2">
      <c r="A2" s="830" t="s">
        <v>1777</v>
      </c>
      <c r="B2" s="831" t="s">
        <v>396</v>
      </c>
      <c r="C2" s="832" t="s">
        <v>2027</v>
      </c>
      <c r="D2" s="832" t="s">
        <v>2024</v>
      </c>
      <c r="E2" s="832" t="s">
        <v>2025</v>
      </c>
      <c r="F2" s="832" t="s">
        <v>2026</v>
      </c>
      <c r="G2" s="832" t="s">
        <v>626</v>
      </c>
      <c r="H2" s="832" t="s">
        <v>2028</v>
      </c>
      <c r="I2" s="832" t="s">
        <v>2029</v>
      </c>
      <c r="J2" s="832" t="s">
        <v>2044</v>
      </c>
      <c r="K2" s="832" t="s">
        <v>2030</v>
      </c>
      <c r="L2" s="832" t="s">
        <v>2031</v>
      </c>
      <c r="M2" s="833"/>
      <c r="N2" s="833"/>
    </row>
    <row r="3" spans="1:14" ht="13.5" thickBot="1" x14ac:dyDescent="0.25">
      <c r="A3" s="1649" t="s">
        <v>948</v>
      </c>
      <c r="B3" s="1650">
        <v>210</v>
      </c>
      <c r="C3" s="834">
        <v>0</v>
      </c>
      <c r="D3" s="834"/>
      <c r="E3" s="834"/>
      <c r="F3" s="1780">
        <f>(C3+D3)-E3</f>
        <v>0</v>
      </c>
      <c r="G3" s="835"/>
      <c r="H3" s="834">
        <v>0</v>
      </c>
      <c r="I3" s="834"/>
      <c r="J3" s="834"/>
      <c r="K3" s="1789">
        <f>(H3+I3)-J3</f>
        <v>0</v>
      </c>
      <c r="L3" s="1789">
        <f>F3-K3</f>
        <v>0</v>
      </c>
      <c r="M3" s="833"/>
      <c r="N3" s="833"/>
    </row>
    <row r="4" spans="1:14" ht="15" customHeight="1" thickTop="1" x14ac:dyDescent="0.2">
      <c r="A4" s="1651" t="s">
        <v>160</v>
      </c>
      <c r="B4" s="1650">
        <v>220</v>
      </c>
      <c r="C4" s="780"/>
      <c r="D4" s="780"/>
      <c r="E4" s="780"/>
      <c r="F4" s="772"/>
      <c r="G4" s="836"/>
      <c r="H4" s="837"/>
      <c r="I4" s="837"/>
      <c r="J4" s="837"/>
      <c r="K4" s="838"/>
      <c r="L4" s="772"/>
    </row>
    <row r="5" spans="1:14" ht="13.5" thickBot="1" x14ac:dyDescent="0.25">
      <c r="A5" s="777" t="s">
        <v>949</v>
      </c>
      <c r="B5" s="839">
        <v>221</v>
      </c>
      <c r="C5" s="840">
        <v>0</v>
      </c>
      <c r="D5" s="840"/>
      <c r="E5" s="840"/>
      <c r="F5" s="1780">
        <f>(C5+D5)-E5</f>
        <v>0</v>
      </c>
      <c r="G5" s="836"/>
      <c r="H5" s="841"/>
      <c r="I5" s="841"/>
      <c r="J5" s="841"/>
      <c r="K5" s="792"/>
      <c r="L5" s="1789">
        <f>F5-K5</f>
        <v>0</v>
      </c>
    </row>
    <row r="6" spans="1:14" ht="14.25" thickTop="1" thickBot="1" x14ac:dyDescent="0.25">
      <c r="A6" s="777" t="s">
        <v>1179</v>
      </c>
      <c r="B6" s="839">
        <v>222</v>
      </c>
      <c r="C6" s="764">
        <v>0</v>
      </c>
      <c r="D6" s="764"/>
      <c r="E6" s="764"/>
      <c r="F6" s="1780">
        <f>(C6+D6)-E6</f>
        <v>0</v>
      </c>
      <c r="G6" s="836">
        <v>50</v>
      </c>
      <c r="H6" s="764">
        <v>0</v>
      </c>
      <c r="I6" s="764"/>
      <c r="J6" s="764"/>
      <c r="K6" s="1789">
        <f>(H6+I6)-J6</f>
        <v>0</v>
      </c>
      <c r="L6" s="1789">
        <f>F6-K6</f>
        <v>0</v>
      </c>
    </row>
    <row r="7" spans="1:14" ht="15" customHeight="1" thickTop="1" x14ac:dyDescent="0.2">
      <c r="A7" s="1651" t="s">
        <v>161</v>
      </c>
      <c r="B7" s="1650">
        <v>230</v>
      </c>
      <c r="C7" s="780"/>
      <c r="D7" s="780"/>
      <c r="E7" s="780"/>
      <c r="F7" s="772"/>
      <c r="G7" s="842"/>
      <c r="H7" s="780"/>
      <c r="I7" s="780"/>
      <c r="J7" s="780"/>
      <c r="K7" s="772"/>
      <c r="L7" s="772"/>
    </row>
    <row r="8" spans="1:14" ht="13.5" thickBot="1" x14ac:dyDescent="0.25">
      <c r="A8" s="777" t="s">
        <v>1180</v>
      </c>
      <c r="B8" s="839">
        <v>231</v>
      </c>
      <c r="C8" s="843">
        <v>515570</v>
      </c>
      <c r="D8" s="843"/>
      <c r="E8" s="843"/>
      <c r="F8" s="1780">
        <f>(C8+D8)-E8</f>
        <v>515570</v>
      </c>
      <c r="G8" s="842">
        <v>50</v>
      </c>
      <c r="H8" s="764">
        <v>134944</v>
      </c>
      <c r="I8" s="764">
        <v>10311</v>
      </c>
      <c r="J8" s="764"/>
      <c r="K8" s="1789">
        <f>(H8+I8)-J8</f>
        <v>145255</v>
      </c>
      <c r="L8" s="1789">
        <f>F8-K8</f>
        <v>370315</v>
      </c>
    </row>
    <row r="9" spans="1:14" ht="14.25" thickTop="1" thickBot="1" x14ac:dyDescent="0.25">
      <c r="A9" s="777" t="s">
        <v>1181</v>
      </c>
      <c r="B9" s="839">
        <v>232</v>
      </c>
      <c r="C9" s="764">
        <v>0</v>
      </c>
      <c r="D9" s="764"/>
      <c r="E9" s="764"/>
      <c r="F9" s="1780">
        <f>(C9+D9)-E9</f>
        <v>0</v>
      </c>
      <c r="G9" s="842">
        <v>20</v>
      </c>
      <c r="H9" s="764">
        <v>0</v>
      </c>
      <c r="I9" s="764"/>
      <c r="J9" s="764"/>
      <c r="K9" s="1789">
        <f>(H9+I9)-J9</f>
        <v>0</v>
      </c>
      <c r="L9" s="1789">
        <f>F9-K9</f>
        <v>0</v>
      </c>
    </row>
    <row r="10" spans="1:14" ht="24" thickTop="1" thickBot="1" x14ac:dyDescent="0.25">
      <c r="A10" s="844" t="s">
        <v>1182</v>
      </c>
      <c r="B10" s="839">
        <v>240</v>
      </c>
      <c r="C10" s="845">
        <v>0</v>
      </c>
      <c r="D10" s="845"/>
      <c r="E10" s="845"/>
      <c r="F10" s="1784">
        <f>(C10+D10)-E10</f>
        <v>0</v>
      </c>
      <c r="G10" s="842">
        <v>20</v>
      </c>
      <c r="H10" s="846">
        <v>0</v>
      </c>
      <c r="I10" s="846"/>
      <c r="J10" s="846"/>
      <c r="K10" s="1789">
        <f>(H10+I10)-J10</f>
        <v>0</v>
      </c>
      <c r="L10" s="1789">
        <f>F10-K10</f>
        <v>0</v>
      </c>
    </row>
    <row r="11" spans="1:14" ht="13.5" thickTop="1" x14ac:dyDescent="0.2">
      <c r="A11" s="1652" t="s">
        <v>1198</v>
      </c>
      <c r="B11" s="1650">
        <v>250</v>
      </c>
      <c r="C11" s="780"/>
      <c r="D11" s="780"/>
      <c r="E11" s="780"/>
      <c r="F11" s="772"/>
      <c r="G11" s="842"/>
      <c r="H11" s="780"/>
      <c r="I11" s="780"/>
      <c r="J11" s="780"/>
      <c r="K11" s="772"/>
      <c r="L11" s="772"/>
    </row>
    <row r="12" spans="1:14" ht="13.5" thickBot="1" x14ac:dyDescent="0.25">
      <c r="A12" s="847" t="s">
        <v>1183</v>
      </c>
      <c r="B12" s="839">
        <v>251</v>
      </c>
      <c r="C12" s="843">
        <v>74086</v>
      </c>
      <c r="D12" s="843"/>
      <c r="E12" s="843">
        <v>13420</v>
      </c>
      <c r="F12" s="1780">
        <f>(C12+D12)-E12</f>
        <v>60666</v>
      </c>
      <c r="G12" s="842">
        <v>10</v>
      </c>
      <c r="H12" s="764">
        <v>53979</v>
      </c>
      <c r="I12" s="764">
        <v>6067</v>
      </c>
      <c r="J12" s="764">
        <v>13420</v>
      </c>
      <c r="K12" s="1789">
        <f>(H12+I12)-J12</f>
        <v>46626</v>
      </c>
      <c r="L12" s="1789">
        <f>F12-K12</f>
        <v>14040</v>
      </c>
    </row>
    <row r="13" spans="1:14" ht="14.25" thickTop="1" thickBot="1" x14ac:dyDescent="0.25">
      <c r="A13" s="847" t="s">
        <v>1184</v>
      </c>
      <c r="B13" s="839">
        <v>252</v>
      </c>
      <c r="C13" s="843">
        <v>0</v>
      </c>
      <c r="D13" s="843"/>
      <c r="E13" s="843"/>
      <c r="F13" s="1780">
        <f>(C13+D13)-E13</f>
        <v>0</v>
      </c>
      <c r="G13" s="842">
        <v>5</v>
      </c>
      <c r="H13" s="764">
        <v>0</v>
      </c>
      <c r="I13" s="764"/>
      <c r="J13" s="764"/>
      <c r="K13" s="1789">
        <f>(H13+I13)-J13</f>
        <v>0</v>
      </c>
      <c r="L13" s="1789">
        <f>F13-K13</f>
        <v>0</v>
      </c>
    </row>
    <row r="14" spans="1:14" ht="14.25" thickTop="1" thickBot="1" x14ac:dyDescent="0.25">
      <c r="A14" s="847" t="s">
        <v>1185</v>
      </c>
      <c r="B14" s="839">
        <v>253</v>
      </c>
      <c r="C14" s="764">
        <v>0</v>
      </c>
      <c r="D14" s="764"/>
      <c r="E14" s="764"/>
      <c r="F14" s="1780">
        <f>(C14+D14)-E14</f>
        <v>0</v>
      </c>
      <c r="G14" s="842">
        <v>3</v>
      </c>
      <c r="H14" s="764">
        <v>0</v>
      </c>
      <c r="I14" s="764"/>
      <c r="J14" s="764"/>
      <c r="K14" s="1789">
        <f>(H14+I14)-J14</f>
        <v>0</v>
      </c>
      <c r="L14" s="1789">
        <f>F14-K14</f>
        <v>0</v>
      </c>
    </row>
    <row r="15" spans="1:14" ht="15" customHeight="1" thickTop="1" thickBot="1" x14ac:dyDescent="0.25">
      <c r="A15" s="1651" t="s">
        <v>549</v>
      </c>
      <c r="B15" s="1650">
        <v>260</v>
      </c>
      <c r="C15" s="843">
        <v>0</v>
      </c>
      <c r="D15" s="843"/>
      <c r="E15" s="843"/>
      <c r="F15" s="1780">
        <f>(C15+D15)-E15</f>
        <v>0</v>
      </c>
      <c r="G15" s="848" t="s">
        <v>917</v>
      </c>
      <c r="H15" s="780"/>
      <c r="I15" s="780"/>
      <c r="J15" s="780"/>
      <c r="K15" s="780"/>
      <c r="L15" s="1789">
        <f>F15-K15</f>
        <v>0</v>
      </c>
    </row>
    <row r="16" spans="1:14" ht="15" customHeight="1" thickTop="1" thickBot="1" x14ac:dyDescent="0.25">
      <c r="A16" s="1785" t="s">
        <v>664</v>
      </c>
      <c r="B16" s="1786">
        <v>200</v>
      </c>
      <c r="C16" s="1780">
        <f>SUM(C3,C5:C6,C8:C10,C12:C15)</f>
        <v>589656</v>
      </c>
      <c r="D16" s="1780">
        <f>SUM(D3,D5:D6,D8:D10,D12:D15)</f>
        <v>0</v>
      </c>
      <c r="E16" s="1780">
        <f>SUM(E3,E5:E6,E8:E10,E12:E15)</f>
        <v>13420</v>
      </c>
      <c r="F16" s="1780">
        <f>SUM(F3,F5:F6,F8:F10,F12:F15)</f>
        <v>576236</v>
      </c>
      <c r="G16" s="842"/>
      <c r="H16" s="1780">
        <f>SUM(H3,H6,H8:H10,H12:H14,)</f>
        <v>188923</v>
      </c>
      <c r="I16" s="1780">
        <f>SUM(I3,I6,I8:I10,I12:I14,)</f>
        <v>16378</v>
      </c>
      <c r="J16" s="1780">
        <f>SUM(J3,J6,J8:J10,J12:J14,)</f>
        <v>13420</v>
      </c>
      <c r="K16" s="1780">
        <f>(H16+I16)-J16</f>
        <v>191881</v>
      </c>
      <c r="L16" s="1780">
        <f>F16-K16</f>
        <v>384355</v>
      </c>
    </row>
    <row r="17" spans="1:12" ht="15" customHeight="1" thickTop="1" thickBot="1" x14ac:dyDescent="0.25">
      <c r="A17" s="1653" t="s">
        <v>309</v>
      </c>
      <c r="B17" s="1650">
        <v>700</v>
      </c>
      <c r="C17" s="768"/>
      <c r="D17" s="768"/>
      <c r="E17" s="768"/>
      <c r="F17" s="1780">
        <f>SUM('Expenditures 15-22'!I114,'Expenditures 15-22'!I151,'Expenditures 15-22'!I210,'Expenditures 15-22'!I312,'Expenditures 15-22'!I342,'Expenditures 15-22'!I367)</f>
        <v>46133</v>
      </c>
      <c r="G17" s="836">
        <v>10</v>
      </c>
      <c r="H17" s="768"/>
      <c r="I17" s="1789">
        <f>F17/G17</f>
        <v>4613.3</v>
      </c>
      <c r="J17" s="768"/>
      <c r="K17" s="794"/>
      <c r="L17" s="794"/>
    </row>
    <row r="18" spans="1:12" ht="14.25" thickTop="1" thickBot="1" x14ac:dyDescent="0.25">
      <c r="A18" s="1787" t="s">
        <v>706</v>
      </c>
      <c r="B18" s="1788"/>
      <c r="C18" s="770"/>
      <c r="D18" s="770"/>
      <c r="E18" s="770"/>
      <c r="F18" s="849"/>
      <c r="G18" s="850"/>
      <c r="H18" s="772"/>
      <c r="I18" s="1780">
        <f>SUM(I16,I17)</f>
        <v>20991.3</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1.1"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25" sqref="A25:H25"/>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7" customHeight="1" thickTop="1" x14ac:dyDescent="0.2">
      <c r="A1" s="2402" t="s">
        <v>1699</v>
      </c>
      <c r="B1" s="2403"/>
      <c r="C1" s="2403"/>
      <c r="D1" s="2403"/>
      <c r="E1" s="2403"/>
      <c r="F1" s="2404"/>
      <c r="G1" s="854"/>
    </row>
    <row r="2" spans="1:7" ht="15" customHeight="1" thickBot="1" x14ac:dyDescent="0.25">
      <c r="A2" s="2405" t="s">
        <v>498</v>
      </c>
      <c r="B2" s="2406"/>
      <c r="C2" s="2406"/>
      <c r="D2" s="2406"/>
      <c r="E2" s="2406"/>
      <c r="F2" s="2407"/>
      <c r="G2" s="856"/>
    </row>
    <row r="3" spans="1:7" ht="5.4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408"/>
      <c r="B5" s="2409"/>
      <c r="C5" s="2409"/>
      <c r="D5" s="2409"/>
      <c r="E5" s="2409"/>
      <c r="F5" s="2409"/>
    </row>
    <row r="6" spans="1:7" ht="13.5" customHeight="1" thickBot="1" x14ac:dyDescent="0.25">
      <c r="A6" s="2399" t="s">
        <v>1166</v>
      </c>
      <c r="B6" s="2400"/>
      <c r="C6" s="2400"/>
      <c r="D6" s="2400"/>
      <c r="E6" s="2400"/>
      <c r="F6" s="2401"/>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2">
        <f>'Expenditures 15-22'!K114</f>
        <v>7928166</v>
      </c>
      <c r="G8" s="864"/>
    </row>
    <row r="9" spans="1:7" x14ac:dyDescent="0.2">
      <c r="A9" s="868" t="s">
        <v>480</v>
      </c>
      <c r="B9" s="869" t="s">
        <v>1986</v>
      </c>
      <c r="C9" s="870"/>
      <c r="D9" s="868" t="s">
        <v>522</v>
      </c>
      <c r="E9" s="867"/>
      <c r="F9" s="1933">
        <f>'Expenditures 15-22'!K151</f>
        <v>0</v>
      </c>
      <c r="G9" s="871"/>
    </row>
    <row r="10" spans="1:7" x14ac:dyDescent="0.2">
      <c r="A10" s="868" t="s">
        <v>520</v>
      </c>
      <c r="B10" s="869" t="s">
        <v>1987</v>
      </c>
      <c r="C10" s="870"/>
      <c r="D10" s="868" t="s">
        <v>522</v>
      </c>
      <c r="E10" s="867"/>
      <c r="F10" s="1933">
        <f>'Expenditures 15-22'!K174</f>
        <v>0</v>
      </c>
      <c r="G10" s="871"/>
    </row>
    <row r="11" spans="1:7" x14ac:dyDescent="0.2">
      <c r="A11" s="868" t="s">
        <v>481</v>
      </c>
      <c r="B11" s="869" t="s">
        <v>1988</v>
      </c>
      <c r="C11" s="870"/>
      <c r="D11" s="868" t="s">
        <v>522</v>
      </c>
      <c r="E11" s="867"/>
      <c r="F11" s="1933">
        <f>'Expenditures 15-22'!K210</f>
        <v>0</v>
      </c>
      <c r="G11" s="871"/>
    </row>
    <row r="12" spans="1:7" x14ac:dyDescent="0.2">
      <c r="A12" s="868" t="s">
        <v>482</v>
      </c>
      <c r="B12" s="869" t="s">
        <v>1989</v>
      </c>
      <c r="C12" s="870"/>
      <c r="D12" s="868" t="s">
        <v>522</v>
      </c>
      <c r="E12" s="867"/>
      <c r="F12" s="1933">
        <f>'Expenditures 15-22'!K295</f>
        <v>0</v>
      </c>
      <c r="G12" s="871"/>
    </row>
    <row r="13" spans="1:7" x14ac:dyDescent="0.2">
      <c r="A13" s="868" t="s">
        <v>108</v>
      </c>
      <c r="B13" s="869" t="s">
        <v>1990</v>
      </c>
      <c r="C13" s="870"/>
      <c r="D13" s="868" t="s">
        <v>522</v>
      </c>
      <c r="E13" s="867"/>
      <c r="F13" s="1933">
        <f>'Expenditures 15-22'!K342</f>
        <v>53580</v>
      </c>
      <c r="G13" s="872"/>
    </row>
    <row r="14" spans="1:7" ht="12" customHeight="1" thickBot="1" x14ac:dyDescent="0.25">
      <c r="A14" s="1790"/>
      <c r="B14" s="1791"/>
      <c r="C14" s="1792"/>
      <c r="D14" s="1793" t="s">
        <v>522</v>
      </c>
      <c r="E14" s="1794" t="s">
        <v>1015</v>
      </c>
      <c r="F14" s="1795">
        <f>SUM(F8:F13)</f>
        <v>7981746</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4">
        <f>'Revenues 9-14'!F43</f>
        <v>0</v>
      </c>
      <c r="G18" s="864"/>
    </row>
    <row r="19" spans="1:7" x14ac:dyDescent="0.2">
      <c r="A19" s="868" t="s">
        <v>481</v>
      </c>
      <c r="B19" s="869" t="s">
        <v>1069</v>
      </c>
      <c r="C19" s="876">
        <f>'Revenues 9-14'!B47</f>
        <v>1421</v>
      </c>
      <c r="D19" s="877" t="str">
        <f>'Revenues 9-14'!A47</f>
        <v>Summer Sch - Transp. Fees from Pupils or Parents (In State)</v>
      </c>
      <c r="E19" s="878"/>
      <c r="F19" s="1935">
        <f>'Revenues 9-14'!F47</f>
        <v>0</v>
      </c>
      <c r="G19" s="864"/>
    </row>
    <row r="20" spans="1:7" x14ac:dyDescent="0.2">
      <c r="A20" s="868" t="s">
        <v>481</v>
      </c>
      <c r="B20" s="869" t="s">
        <v>1070</v>
      </c>
      <c r="C20" s="874">
        <f>'Revenues 9-14'!B48</f>
        <v>1422</v>
      </c>
      <c r="D20" s="875" t="str">
        <f>'Revenues 9-14'!A48</f>
        <v>Summer Sch - Transp. Fees from Other Districts (In State)</v>
      </c>
      <c r="E20" s="867"/>
      <c r="F20" s="1936">
        <f>'Revenues 9-14'!F48</f>
        <v>0</v>
      </c>
      <c r="G20" s="864"/>
    </row>
    <row r="21" spans="1:7" x14ac:dyDescent="0.2">
      <c r="A21" s="868" t="s">
        <v>481</v>
      </c>
      <c r="B21" s="869" t="s">
        <v>1071</v>
      </c>
      <c r="C21" s="876">
        <f>'Revenues 9-14'!B49</f>
        <v>1423</v>
      </c>
      <c r="D21" s="875" t="str">
        <f>'Revenues 9-14'!A49</f>
        <v>Summer Sch - Transp. Fees from Other Sources (In State)</v>
      </c>
      <c r="E21" s="867"/>
      <c r="F21" s="1937">
        <f>'Revenues 9-14'!F49</f>
        <v>0</v>
      </c>
      <c r="G21" s="864"/>
    </row>
    <row r="22" spans="1:7" x14ac:dyDescent="0.2">
      <c r="A22" s="868" t="s">
        <v>481</v>
      </c>
      <c r="B22" s="869" t="s">
        <v>1072</v>
      </c>
      <c r="C22" s="876">
        <f>'Revenues 9-14'!B50</f>
        <v>1424</v>
      </c>
      <c r="D22" s="875" t="str">
        <f>'Revenues 9-14'!A50</f>
        <v>Summer Sch - Transp. Fees from Other Sources (Out of State)</v>
      </c>
      <c r="E22" s="867"/>
      <c r="F22" s="1937">
        <f>'Revenues 9-14'!F50</f>
        <v>0</v>
      </c>
      <c r="G22" s="864"/>
    </row>
    <row r="23" spans="1:7" x14ac:dyDescent="0.2">
      <c r="A23" s="868" t="s">
        <v>481</v>
      </c>
      <c r="B23" s="869" t="s">
        <v>1073</v>
      </c>
      <c r="C23" s="874">
        <f>'Revenues 9-14'!B52</f>
        <v>1432</v>
      </c>
      <c r="D23" s="875" t="str">
        <f>'Revenues 9-14'!A52</f>
        <v>CTE - Transp Fees from Other Districts (In State)</v>
      </c>
      <c r="E23" s="867"/>
      <c r="F23" s="1937">
        <f>'Revenues 9-14'!F52</f>
        <v>0</v>
      </c>
      <c r="G23" s="864"/>
    </row>
    <row r="24" spans="1:7" x14ac:dyDescent="0.2">
      <c r="A24" s="868" t="s">
        <v>481</v>
      </c>
      <c r="B24" s="869" t="s">
        <v>1074</v>
      </c>
      <c r="C24" s="874">
        <f>'Revenues 9-14'!B56</f>
        <v>1442</v>
      </c>
      <c r="D24" s="875" t="str">
        <f>'Revenues 9-14'!A56</f>
        <v>Special Ed - Transp Fees from Other Districts (In State)</v>
      </c>
      <c r="E24" s="867"/>
      <c r="F24" s="1937">
        <f>'Revenues 9-14'!F56</f>
        <v>0</v>
      </c>
      <c r="G24" s="864"/>
    </row>
    <row r="25" spans="1:7" x14ac:dyDescent="0.2">
      <c r="A25" s="868" t="s">
        <v>481</v>
      </c>
      <c r="B25" s="869" t="s">
        <v>1075</v>
      </c>
      <c r="C25" s="874">
        <f>'Revenues 9-14'!B59</f>
        <v>1451</v>
      </c>
      <c r="D25" s="875" t="str">
        <f>'Revenues 9-14'!A59</f>
        <v>Adult - Transp Fees from Pupils or Parents (In State)</v>
      </c>
      <c r="E25" s="867"/>
      <c r="F25" s="1937">
        <f>'Revenues 9-14'!F59</f>
        <v>0</v>
      </c>
      <c r="G25" s="864"/>
    </row>
    <row r="26" spans="1:7" x14ac:dyDescent="0.2">
      <c r="A26" s="868" t="s">
        <v>481</v>
      </c>
      <c r="B26" s="869" t="s">
        <v>1076</v>
      </c>
      <c r="C26" s="874">
        <f>'Revenues 9-14'!B60</f>
        <v>1452</v>
      </c>
      <c r="D26" s="875" t="str">
        <f>'Revenues 9-14'!A60</f>
        <v>Adult - Transp Fees from Other Districts (In State)</v>
      </c>
      <c r="E26" s="867"/>
      <c r="F26" s="1937">
        <f>'Revenues 9-14'!F60</f>
        <v>0</v>
      </c>
      <c r="G26" s="864"/>
    </row>
    <row r="27" spans="1:7" x14ac:dyDescent="0.2">
      <c r="A27" s="868" t="s">
        <v>481</v>
      </c>
      <c r="B27" s="869" t="s">
        <v>1077</v>
      </c>
      <c r="C27" s="874">
        <f>'Revenues 9-14'!B61</f>
        <v>1453</v>
      </c>
      <c r="D27" s="875" t="str">
        <f>'Revenues 9-14'!A61</f>
        <v>Adult - Transp Fees from Other Sources (In State)</v>
      </c>
      <c r="E27" s="867"/>
      <c r="F27" s="1937">
        <f>'Revenues 9-14'!F61</f>
        <v>0</v>
      </c>
      <c r="G27" s="864"/>
    </row>
    <row r="28" spans="1:7" x14ac:dyDescent="0.2">
      <c r="A28" s="868" t="s">
        <v>481</v>
      </c>
      <c r="B28" s="869" t="s">
        <v>1078</v>
      </c>
      <c r="C28" s="874">
        <f>'Revenues 9-14'!B62</f>
        <v>1454</v>
      </c>
      <c r="D28" s="875" t="str">
        <f>'Revenues 9-14'!A62</f>
        <v>Adult - Transp Fees from Other Sources (Out of State)</v>
      </c>
      <c r="E28" s="867"/>
      <c r="F28" s="1937">
        <f>'Revenues 9-14'!F62</f>
        <v>0</v>
      </c>
      <c r="G28" s="864"/>
    </row>
    <row r="29" spans="1:7" x14ac:dyDescent="0.2">
      <c r="A29" s="868" t="s">
        <v>1159</v>
      </c>
      <c r="B29" s="869" t="s">
        <v>1683</v>
      </c>
      <c r="C29" s="879">
        <f>'Revenues 9-14'!B148</f>
        <v>3410</v>
      </c>
      <c r="D29" s="880" t="str">
        <f>'Revenues 9-14'!A148</f>
        <v>Adult Ed (from ICCB)</v>
      </c>
      <c r="E29" s="867"/>
      <c r="F29" s="1937">
        <f>SUM('Revenues 9-14'!D148,F149)</f>
        <v>0</v>
      </c>
      <c r="G29" s="864"/>
    </row>
    <row r="30" spans="1:7" x14ac:dyDescent="0.2">
      <c r="A30" s="868" t="s">
        <v>1159</v>
      </c>
      <c r="B30" s="869" t="s">
        <v>861</v>
      </c>
      <c r="C30" s="879">
        <f>'Revenues 9-14'!B149</f>
        <v>3499</v>
      </c>
      <c r="D30" s="880" t="str">
        <f>'Revenues 9-14'!A149</f>
        <v>Adult Ed - Other (Describe &amp; Itemize)</v>
      </c>
      <c r="E30" s="867"/>
      <c r="F30" s="1938">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7">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7">
        <f>SUM('Revenues 9-14'!D219,'Revenues 9-14'!F219)</f>
        <v>0</v>
      </c>
      <c r="G32" s="864"/>
    </row>
    <row r="33" spans="1:7" x14ac:dyDescent="0.2">
      <c r="A33" s="868" t="s">
        <v>480</v>
      </c>
      <c r="B33" s="869" t="s">
        <v>801</v>
      </c>
      <c r="C33" s="874">
        <f>'Revenues 9-14'!B229</f>
        <v>4810</v>
      </c>
      <c r="D33" s="882" t="str">
        <f>'Revenues 9-14'!A229</f>
        <v>Federal - Adult Education</v>
      </c>
      <c r="E33" s="867"/>
      <c r="F33" s="1937">
        <f>'Revenues 9-14'!D229</f>
        <v>0</v>
      </c>
      <c r="G33" s="864"/>
    </row>
    <row r="34" spans="1:7" x14ac:dyDescent="0.2">
      <c r="A34" s="868" t="s">
        <v>479</v>
      </c>
      <c r="B34" s="868" t="s">
        <v>1545</v>
      </c>
      <c r="C34" s="885" t="str">
        <f>'Expenditures 15-22'!B7</f>
        <v>1125</v>
      </c>
      <c r="D34" s="886" t="str">
        <f>'Expenditures 15-22'!A7</f>
        <v>Pre-K Programs</v>
      </c>
      <c r="E34" s="867"/>
      <c r="F34" s="1937">
        <f>'Expenditures 15-22'!K7-SUM('Expenditures 15-22'!G7,'Expenditures 15-22'!I7)</f>
        <v>0</v>
      </c>
      <c r="G34" s="864"/>
    </row>
    <row r="35" spans="1:7" x14ac:dyDescent="0.2">
      <c r="A35" s="868" t="s">
        <v>479</v>
      </c>
      <c r="B35" s="868" t="s">
        <v>1546</v>
      </c>
      <c r="C35" s="885" t="str">
        <f>'Expenditures 15-22'!B9</f>
        <v>1225</v>
      </c>
      <c r="D35" s="886" t="str">
        <f>'Expenditures 15-22'!A9</f>
        <v>Special Education Programs Pre-K</v>
      </c>
      <c r="E35" s="867"/>
      <c r="F35" s="1937">
        <f>'Expenditures 15-22'!K9-SUM('Expenditures 15-22'!G9+'Expenditures 15-22'!I9)</f>
        <v>417493</v>
      </c>
      <c r="G35" s="864"/>
    </row>
    <row r="36" spans="1:7" x14ac:dyDescent="0.2">
      <c r="A36" s="868" t="s">
        <v>479</v>
      </c>
      <c r="B36" s="868" t="s">
        <v>118</v>
      </c>
      <c r="C36" s="885" t="str">
        <f>'Expenditures 15-22'!B11</f>
        <v>1275</v>
      </c>
      <c r="D36" s="886" t="str">
        <f>'Expenditures 15-22'!A11</f>
        <v>Remedial and Supplemental Programs Pre-K</v>
      </c>
      <c r="E36" s="867"/>
      <c r="F36" s="1937">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7">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7">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937">
        <f>'Expenditures 15-22'!K20</f>
        <v>0</v>
      </c>
      <c r="G39" s="864"/>
    </row>
    <row r="40" spans="1:7" x14ac:dyDescent="0.2">
      <c r="A40" s="868" t="s">
        <v>479</v>
      </c>
      <c r="B40" s="868" t="s">
        <v>120</v>
      </c>
      <c r="C40" s="885" t="str">
        <f>'Expenditures 15-22'!B21</f>
        <v>1911</v>
      </c>
      <c r="D40" s="887" t="str">
        <f>'Expenditures 15-22'!A21</f>
        <v>Regular K-12 Programs - Private Tuition</v>
      </c>
      <c r="E40" s="867"/>
      <c r="F40" s="1937">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7">
        <f>'Expenditures 15-22'!K22</f>
        <v>0</v>
      </c>
      <c r="G41" s="864"/>
    </row>
    <row r="42" spans="1:7" x14ac:dyDescent="0.2">
      <c r="A42" s="868" t="s">
        <v>479</v>
      </c>
      <c r="B42" s="868" t="s">
        <v>122</v>
      </c>
      <c r="C42" s="888" t="str">
        <f>'Expenditures 15-22'!B23</f>
        <v>1913</v>
      </c>
      <c r="D42" s="887" t="str">
        <f>'Expenditures 15-22'!A23</f>
        <v>Special Education Programs Pre-K - Tuition</v>
      </c>
      <c r="E42" s="867"/>
      <c r="F42" s="1937">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7">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7">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7">
        <f>'Expenditures 15-22'!K26</f>
        <v>0</v>
      </c>
      <c r="G45" s="864"/>
    </row>
    <row r="46" spans="1:7" x14ac:dyDescent="0.2">
      <c r="A46" s="868" t="s">
        <v>479</v>
      </c>
      <c r="B46" s="868" t="s">
        <v>126</v>
      </c>
      <c r="C46" s="885" t="str">
        <f>'Expenditures 15-22'!B27</f>
        <v>1917</v>
      </c>
      <c r="D46" s="887" t="str">
        <f>'Expenditures 15-22'!A27</f>
        <v>CTE Programs - Private Tuition</v>
      </c>
      <c r="E46" s="867"/>
      <c r="F46" s="1937">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7">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7">
        <f>'Expenditures 15-22'!K29</f>
        <v>0</v>
      </c>
      <c r="G48" s="864"/>
    </row>
    <row r="49" spans="1:7" x14ac:dyDescent="0.2">
      <c r="A49" s="868" t="s">
        <v>479</v>
      </c>
      <c r="B49" s="868" t="s">
        <v>129</v>
      </c>
      <c r="C49" s="885" t="str">
        <f>'Expenditures 15-22'!B30</f>
        <v>1920</v>
      </c>
      <c r="D49" s="887" t="str">
        <f>'Expenditures 15-22'!A30</f>
        <v>Gifted Programs - Private Tuition</v>
      </c>
      <c r="E49" s="867"/>
      <c r="F49" s="1937">
        <f>'Expenditures 15-22'!K30</f>
        <v>0</v>
      </c>
      <c r="G49" s="864"/>
    </row>
    <row r="50" spans="1:7" x14ac:dyDescent="0.2">
      <c r="A50" s="868" t="s">
        <v>479</v>
      </c>
      <c r="B50" s="868" t="s">
        <v>130</v>
      </c>
      <c r="C50" s="885" t="str">
        <f>'Expenditures 15-22'!B31</f>
        <v>1921</v>
      </c>
      <c r="D50" s="887" t="str">
        <f>'Expenditures 15-22'!A31</f>
        <v>Bilingual Programs - Private Tuition</v>
      </c>
      <c r="E50" s="867"/>
      <c r="F50" s="1937">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7">
        <f>'Expenditures 15-22'!K32</f>
        <v>0</v>
      </c>
      <c r="G51" s="864"/>
    </row>
    <row r="52" spans="1:7" x14ac:dyDescent="0.2">
      <c r="A52" s="868" t="s">
        <v>479</v>
      </c>
      <c r="B52" s="868" t="s">
        <v>1550</v>
      </c>
      <c r="C52" s="888" t="str">
        <f>'Expenditures 15-22'!B75</f>
        <v>3000</v>
      </c>
      <c r="D52" s="887" t="s">
        <v>469</v>
      </c>
      <c r="E52" s="867"/>
      <c r="F52" s="1937">
        <f>'Expenditures 15-22'!K75-SUM('Expenditures 15-22'!G75,'Expenditures 15-22'!I75)</f>
        <v>23274</v>
      </c>
      <c r="G52" s="864"/>
    </row>
    <row r="53" spans="1:7" x14ac:dyDescent="0.2">
      <c r="A53" s="868" t="s">
        <v>479</v>
      </c>
      <c r="B53" s="868" t="s">
        <v>1551</v>
      </c>
      <c r="C53" s="888">
        <f>'Expenditures 15-22'!B102</f>
        <v>4000</v>
      </c>
      <c r="D53" s="887" t="str">
        <f>'Expenditures 15-22'!A102</f>
        <v>Total Payments to Other Govt Units</v>
      </c>
      <c r="E53" s="867"/>
      <c r="F53" s="1937">
        <f>'Expenditures 15-22'!K102</f>
        <v>130289</v>
      </c>
      <c r="G53" s="864"/>
    </row>
    <row r="54" spans="1:7" x14ac:dyDescent="0.2">
      <c r="A54" s="868" t="s">
        <v>479</v>
      </c>
      <c r="B54" s="868" t="s">
        <v>1552</v>
      </c>
      <c r="C54" s="888" t="s">
        <v>1039</v>
      </c>
      <c r="D54" s="884" t="s">
        <v>1157</v>
      </c>
      <c r="E54" s="867"/>
      <c r="F54" s="1937">
        <f>'Expenditures 15-22'!G114</f>
        <v>0</v>
      </c>
      <c r="G54" s="864"/>
    </row>
    <row r="55" spans="1:7" x14ac:dyDescent="0.2">
      <c r="A55" s="868" t="s">
        <v>479</v>
      </c>
      <c r="B55" s="868" t="s">
        <v>1553</v>
      </c>
      <c r="C55" s="888" t="s">
        <v>1039</v>
      </c>
      <c r="D55" s="884" t="s">
        <v>309</v>
      </c>
      <c r="E55" s="867"/>
      <c r="F55" s="1937">
        <f>'Expenditures 15-22'!I114</f>
        <v>46133</v>
      </c>
      <c r="G55" s="864"/>
    </row>
    <row r="56" spans="1:7" x14ac:dyDescent="0.2">
      <c r="A56" s="868" t="s">
        <v>480</v>
      </c>
      <c r="B56" s="868" t="s">
        <v>1554</v>
      </c>
      <c r="C56" s="885" t="str">
        <f>'Expenditures 15-22'!B130</f>
        <v>3000</v>
      </c>
      <c r="D56" s="891" t="s">
        <v>469</v>
      </c>
      <c r="E56" s="867"/>
      <c r="F56" s="1937">
        <f>'Expenditures 15-22'!K130-SUM('Expenditures 15-22'!G130+'Expenditures 15-22'!I130)</f>
        <v>0</v>
      </c>
      <c r="G56" s="864"/>
    </row>
    <row r="57" spans="1:7" x14ac:dyDescent="0.2">
      <c r="A57" s="868" t="s">
        <v>480</v>
      </c>
      <c r="B57" s="868" t="s">
        <v>1991</v>
      </c>
      <c r="C57" s="888">
        <f>'Expenditures 15-22'!B139</f>
        <v>4000</v>
      </c>
      <c r="D57" s="886" t="str">
        <f>'Expenditures 15-22'!A139</f>
        <v>Total Payments to Other Govt Units</v>
      </c>
      <c r="E57" s="867"/>
      <c r="F57" s="1937">
        <f>'Expenditures 15-22'!K139</f>
        <v>0</v>
      </c>
      <c r="G57" s="864"/>
    </row>
    <row r="58" spans="1:7" x14ac:dyDescent="0.2">
      <c r="A58" s="868" t="s">
        <v>480</v>
      </c>
      <c r="B58" s="868" t="s">
        <v>1992</v>
      </c>
      <c r="C58" s="885" t="s">
        <v>1039</v>
      </c>
      <c r="D58" s="884" t="s">
        <v>1157</v>
      </c>
      <c r="E58" s="867"/>
      <c r="F58" s="1939">
        <f>'Expenditures 15-22'!G151</f>
        <v>0</v>
      </c>
      <c r="G58" s="864"/>
    </row>
    <row r="59" spans="1:7" x14ac:dyDescent="0.2">
      <c r="A59" s="892" t="s">
        <v>480</v>
      </c>
      <c r="B59" s="855" t="s">
        <v>1993</v>
      </c>
      <c r="C59" s="893" t="s">
        <v>1039</v>
      </c>
      <c r="D59" s="855" t="s">
        <v>309</v>
      </c>
      <c r="F59" s="1940">
        <f>'Expenditures 15-22'!I151</f>
        <v>0</v>
      </c>
      <c r="G59" s="864"/>
    </row>
    <row r="60" spans="1:7" x14ac:dyDescent="0.2">
      <c r="A60" s="892" t="s">
        <v>520</v>
      </c>
      <c r="B60" s="855" t="s">
        <v>1994</v>
      </c>
      <c r="C60" s="893">
        <v>4000</v>
      </c>
      <c r="D60" s="855" t="s">
        <v>330</v>
      </c>
      <c r="F60" s="1938">
        <f>'Expenditures 15-22'!K160</f>
        <v>0</v>
      </c>
      <c r="G60" s="864"/>
    </row>
    <row r="61" spans="1:7" x14ac:dyDescent="0.2">
      <c r="A61" s="894" t="s">
        <v>520</v>
      </c>
      <c r="B61" s="894" t="s">
        <v>1995</v>
      </c>
      <c r="C61" s="895" t="str">
        <f>'Expenditures 15-22'!B170</f>
        <v>5300</v>
      </c>
      <c r="D61" s="896" t="s">
        <v>329</v>
      </c>
      <c r="E61" s="878"/>
      <c r="F61" s="1937">
        <f>'Expenditures 15-22'!K170</f>
        <v>0</v>
      </c>
      <c r="G61" s="864"/>
    </row>
    <row r="62" spans="1:7" x14ac:dyDescent="0.2">
      <c r="A62" s="868" t="s">
        <v>481</v>
      </c>
      <c r="B62" s="868" t="s">
        <v>1996</v>
      </c>
      <c r="C62" s="885">
        <f>'Expenditures 15-22'!B185</f>
        <v>3000</v>
      </c>
      <c r="D62" s="875" t="s">
        <v>469</v>
      </c>
      <c r="E62" s="867"/>
      <c r="F62" s="1937">
        <f>'Expenditures 15-22'!K185-SUM('Expenditures 15-22'!G185,'Expenditures 15-22'!I185)</f>
        <v>0</v>
      </c>
      <c r="G62" s="864"/>
    </row>
    <row r="63" spans="1:7" x14ac:dyDescent="0.2">
      <c r="A63" s="868" t="s">
        <v>481</v>
      </c>
      <c r="B63" s="868" t="s">
        <v>1997</v>
      </c>
      <c r="C63" s="885" t="str">
        <f>'Expenditures 15-22'!B196</f>
        <v>4000</v>
      </c>
      <c r="D63" s="886" t="str">
        <f>'Expenditures 15-22'!A196</f>
        <v>Total Payments to Other Govt Units</v>
      </c>
      <c r="E63" s="867"/>
      <c r="F63" s="1937">
        <f>'Expenditures 15-22'!K196</f>
        <v>0</v>
      </c>
      <c r="G63" s="864"/>
    </row>
    <row r="64" spans="1:7" x14ac:dyDescent="0.2">
      <c r="A64" s="894" t="s">
        <v>481</v>
      </c>
      <c r="B64" s="894" t="s">
        <v>1998</v>
      </c>
      <c r="C64" s="895" t="str">
        <f>'Expenditures 15-22'!B206</f>
        <v>5300</v>
      </c>
      <c r="D64" s="891" t="s">
        <v>329</v>
      </c>
      <c r="E64" s="867"/>
      <c r="F64" s="1937">
        <f>'Expenditures 15-22'!K206</f>
        <v>0</v>
      </c>
      <c r="G64" s="864"/>
    </row>
    <row r="65" spans="1:8" x14ac:dyDescent="0.2">
      <c r="A65" s="868" t="s">
        <v>481</v>
      </c>
      <c r="B65" s="868" t="s">
        <v>1999</v>
      </c>
      <c r="C65" s="885" t="s">
        <v>1039</v>
      </c>
      <c r="D65" s="884" t="s">
        <v>1157</v>
      </c>
      <c r="E65" s="867"/>
      <c r="F65" s="1937">
        <f>'Expenditures 15-22'!G210</f>
        <v>0</v>
      </c>
      <c r="G65" s="864"/>
    </row>
    <row r="66" spans="1:8" x14ac:dyDescent="0.2">
      <c r="A66" s="868" t="s">
        <v>481</v>
      </c>
      <c r="B66" s="868" t="s">
        <v>2000</v>
      </c>
      <c r="C66" s="885" t="s">
        <v>1039</v>
      </c>
      <c r="D66" s="884" t="s">
        <v>309</v>
      </c>
      <c r="E66" s="867"/>
      <c r="F66" s="1937">
        <f>'Expenditures 15-22'!I210</f>
        <v>0</v>
      </c>
      <c r="G66" s="864"/>
    </row>
    <row r="67" spans="1:8" x14ac:dyDescent="0.2">
      <c r="A67" s="868" t="s">
        <v>482</v>
      </c>
      <c r="B67" s="868" t="s">
        <v>2001</v>
      </c>
      <c r="C67" s="885" t="str">
        <f>'Expenditures 15-22'!B216</f>
        <v>1125</v>
      </c>
      <c r="D67" s="891" t="str">
        <f>'Expenditures 15-22'!A216</f>
        <v>Pre-K Programs</v>
      </c>
      <c r="E67" s="867"/>
      <c r="F67" s="1937">
        <f>'Expenditures 15-22'!K216</f>
        <v>0</v>
      </c>
      <c r="G67" s="864"/>
    </row>
    <row r="68" spans="1:8" x14ac:dyDescent="0.2">
      <c r="A68" s="868" t="s">
        <v>482</v>
      </c>
      <c r="B68" s="868" t="s">
        <v>1555</v>
      </c>
      <c r="C68" s="885" t="str">
        <f>'Expenditures 15-22'!B218</f>
        <v>1225</v>
      </c>
      <c r="D68" s="891" t="str">
        <f>'Expenditures 15-22'!A218</f>
        <v>Special Education Programs - Pre-K</v>
      </c>
      <c r="E68" s="867"/>
      <c r="F68" s="1937">
        <f>'Expenditures 15-22'!K218</f>
        <v>0</v>
      </c>
      <c r="G68" s="864"/>
    </row>
    <row r="69" spans="1:8" x14ac:dyDescent="0.2">
      <c r="A69" s="868" t="s">
        <v>482</v>
      </c>
      <c r="B69" s="868" t="s">
        <v>2002</v>
      </c>
      <c r="C69" s="885" t="str">
        <f>'Expenditures 15-22'!B220</f>
        <v>1275</v>
      </c>
      <c r="D69" s="891" t="str">
        <f>'Expenditures 15-22'!A220</f>
        <v>Remedial and Supplemental Programs - Pre-K</v>
      </c>
      <c r="E69" s="867"/>
      <c r="F69" s="1937">
        <f>'Expenditures 15-22'!K220</f>
        <v>0</v>
      </c>
      <c r="G69" s="864"/>
    </row>
    <row r="70" spans="1:8" x14ac:dyDescent="0.2">
      <c r="A70" s="868" t="s">
        <v>482</v>
      </c>
      <c r="B70" s="868" t="s">
        <v>2003</v>
      </c>
      <c r="C70" s="885">
        <f>'Expenditures 15-22'!B221</f>
        <v>1300</v>
      </c>
      <c r="D70" s="886" t="str">
        <f>'Expenditures 15-22'!A221</f>
        <v>Adult/Continuing Education Programs</v>
      </c>
      <c r="E70" s="867"/>
      <c r="F70" s="1937">
        <f>'Expenditures 15-22'!K221</f>
        <v>0</v>
      </c>
      <c r="G70" s="864"/>
    </row>
    <row r="71" spans="1:8" x14ac:dyDescent="0.2">
      <c r="A71" s="868" t="s">
        <v>482</v>
      </c>
      <c r="B71" s="868" t="s">
        <v>2004</v>
      </c>
      <c r="C71" s="885">
        <f>'Expenditures 15-22'!B224</f>
        <v>1600</v>
      </c>
      <c r="D71" s="886" t="str">
        <f>'Expenditures 15-22'!A224</f>
        <v>Summer School Programs</v>
      </c>
      <c r="E71" s="867"/>
      <c r="F71" s="1937">
        <f>'Expenditures 15-22'!K224</f>
        <v>0</v>
      </c>
      <c r="G71" s="864"/>
    </row>
    <row r="72" spans="1:8" x14ac:dyDescent="0.2">
      <c r="A72" s="868" t="s">
        <v>482</v>
      </c>
      <c r="B72" s="868" t="s">
        <v>2005</v>
      </c>
      <c r="C72" s="885">
        <f>'Expenditures 15-22'!B280</f>
        <v>3000</v>
      </c>
      <c r="D72" s="875" t="s">
        <v>469</v>
      </c>
      <c r="E72" s="867"/>
      <c r="F72" s="1937">
        <f>'Expenditures 15-22'!K280</f>
        <v>0</v>
      </c>
      <c r="G72" s="864"/>
    </row>
    <row r="73" spans="1:8" x14ac:dyDescent="0.2">
      <c r="A73" s="868" t="s">
        <v>482</v>
      </c>
      <c r="B73" s="868" t="s">
        <v>2006</v>
      </c>
      <c r="C73" s="885" t="str">
        <f>'Expenditures 15-22'!B285</f>
        <v>4000</v>
      </c>
      <c r="D73" s="886" t="str">
        <f>'Expenditures 15-22'!A285</f>
        <v>Total Payments to Other Govt Units</v>
      </c>
      <c r="E73" s="867"/>
      <c r="F73" s="1937">
        <f>'Expenditures 15-22'!K285</f>
        <v>0</v>
      </c>
      <c r="G73" s="864"/>
    </row>
    <row r="74" spans="1:8" x14ac:dyDescent="0.2">
      <c r="A74" s="868" t="s">
        <v>456</v>
      </c>
      <c r="B74" s="868" t="s">
        <v>2007</v>
      </c>
      <c r="C74" s="885" t="s">
        <v>915</v>
      </c>
      <c r="D74" s="886" t="s">
        <v>1567</v>
      </c>
      <c r="E74" s="867"/>
      <c r="F74" s="1941">
        <f>'Expenditures 15-22'!K334</f>
        <v>0</v>
      </c>
      <c r="G74" s="864"/>
    </row>
    <row r="75" spans="1:8" ht="5.45" customHeight="1" x14ac:dyDescent="0.2">
      <c r="A75" s="864"/>
      <c r="B75" s="874"/>
      <c r="C75" s="874"/>
      <c r="D75" s="864"/>
      <c r="E75" s="867"/>
      <c r="F75" s="881"/>
      <c r="G75" s="866"/>
    </row>
    <row r="76" spans="1:8" ht="12" thickBot="1" x14ac:dyDescent="0.25">
      <c r="A76" s="1790"/>
      <c r="B76" s="1796"/>
      <c r="C76" s="1792"/>
      <c r="D76" s="1797" t="s">
        <v>2008</v>
      </c>
      <c r="E76" s="1794" t="s">
        <v>1015</v>
      </c>
      <c r="F76" s="1798">
        <f>SUM(F18:F74)</f>
        <v>617189</v>
      </c>
      <c r="G76" s="864"/>
    </row>
    <row r="77" spans="1:8" s="892" customFormat="1" ht="12" customHeight="1" thickTop="1" thickBot="1" x14ac:dyDescent="0.25">
      <c r="A77" s="1799"/>
      <c r="B77" s="1796"/>
      <c r="C77" s="1792"/>
      <c r="D77" s="1797" t="s">
        <v>2009</v>
      </c>
      <c r="E77" s="1794"/>
      <c r="F77" s="1800">
        <f>(F14-F76)</f>
        <v>7364557</v>
      </c>
      <c r="G77" s="868"/>
    </row>
    <row r="78" spans="1:8" s="892" customFormat="1" ht="12" customHeight="1" thickTop="1" x14ac:dyDescent="0.2">
      <c r="A78" s="1801"/>
      <c r="B78" s="1796"/>
      <c r="C78" s="1792"/>
      <c r="D78" s="1797" t="s">
        <v>2056</v>
      </c>
      <c r="E78" s="1794"/>
      <c r="F78" s="897">
        <v>0</v>
      </c>
      <c r="G78" s="898"/>
      <c r="H78" s="868"/>
    </row>
    <row r="79" spans="1:8" s="892" customFormat="1" ht="12" customHeight="1" thickBot="1" x14ac:dyDescent="0.25">
      <c r="A79" s="1802"/>
      <c r="B79" s="1796"/>
      <c r="C79" s="1792"/>
      <c r="D79" s="1797" t="s">
        <v>2010</v>
      </c>
      <c r="E79" s="1794" t="s">
        <v>1015</v>
      </c>
      <c r="F79" s="1803" t="str">
        <f>IF(F78&gt;0,F77/F78," Complete Line 78")</f>
        <v xml:space="preserve"> Complete Line 78</v>
      </c>
      <c r="G79" s="868"/>
    </row>
    <row r="80" spans="1:8" s="892" customFormat="1" ht="8.25" customHeight="1" thickTop="1" x14ac:dyDescent="0.2">
      <c r="A80" s="899"/>
      <c r="B80" s="868"/>
      <c r="C80" s="870"/>
      <c r="D80" s="900"/>
      <c r="E80" s="867"/>
      <c r="F80" s="901"/>
      <c r="G80" s="868"/>
    </row>
    <row r="81" spans="1:7" s="892" customFormat="1" ht="12" thickBot="1" x14ac:dyDescent="0.25">
      <c r="A81" s="2399" t="s">
        <v>1167</v>
      </c>
      <c r="B81" s="2400"/>
      <c r="C81" s="2400"/>
      <c r="D81" s="2400"/>
      <c r="E81" s="2400"/>
      <c r="F81" s="2401"/>
      <c r="G81" s="868"/>
    </row>
    <row r="82" spans="1:7" s="892" customFormat="1" ht="5.4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31">
        <f>'Revenues 9-14'!F42</f>
        <v>0</v>
      </c>
      <c r="G84" s="911"/>
    </row>
    <row r="85" spans="1:7" x14ac:dyDescent="0.2">
      <c r="A85" s="907" t="s">
        <v>481</v>
      </c>
      <c r="B85" s="907" t="s">
        <v>192</v>
      </c>
      <c r="C85" s="912">
        <f>'Revenues 9-14'!B44</f>
        <v>1413</v>
      </c>
      <c r="D85" s="910" t="str">
        <f>'Revenues 9-14'!A44</f>
        <v>Regular - Transp Fees from Other Sources (In State)</v>
      </c>
      <c r="E85" s="905"/>
      <c r="F85" s="1809">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9">
        <f>'Revenues 9-14'!F45</f>
        <v>0</v>
      </c>
      <c r="G86" s="913"/>
    </row>
    <row r="87" spans="1:7" x14ac:dyDescent="0.2">
      <c r="A87" s="907" t="s">
        <v>481</v>
      </c>
      <c r="B87" s="907" t="s">
        <v>169</v>
      </c>
      <c r="C87" s="909">
        <v>1416</v>
      </c>
      <c r="D87" s="910" t="str">
        <f>'Revenues 9-14'!A46</f>
        <v>Regular Transp Fees from Other Sources (Out of State)</v>
      </c>
      <c r="E87" s="905"/>
      <c r="F87" s="1809">
        <f>'Revenues 9-14'!F46</f>
        <v>0</v>
      </c>
      <c r="G87" s="913"/>
    </row>
    <row r="88" spans="1:7" x14ac:dyDescent="0.2">
      <c r="A88" s="907" t="s">
        <v>481</v>
      </c>
      <c r="B88" s="907" t="s">
        <v>170</v>
      </c>
      <c r="C88" s="909">
        <f>'Revenues 9-14'!B51</f>
        <v>1431</v>
      </c>
      <c r="D88" s="910" t="str">
        <f>'Revenues 9-14'!A51</f>
        <v>CTE - Transp Fees from Pupils or Parents (In State)</v>
      </c>
      <c r="E88" s="905"/>
      <c r="F88" s="1809">
        <f>'Revenues 9-14'!F51</f>
        <v>0</v>
      </c>
      <c r="G88" s="913"/>
    </row>
    <row r="89" spans="1:7" x14ac:dyDescent="0.2">
      <c r="A89" s="907" t="s">
        <v>481</v>
      </c>
      <c r="B89" s="907" t="s">
        <v>171</v>
      </c>
      <c r="C89" s="909">
        <f>'Revenues 9-14'!B53</f>
        <v>1433</v>
      </c>
      <c r="D89" s="910" t="str">
        <f>'Revenues 9-14'!A53</f>
        <v>CTE - Transp Fees from Other Sources (In State)</v>
      </c>
      <c r="E89" s="905"/>
      <c r="F89" s="1809">
        <f>'Revenues 9-14'!F53</f>
        <v>0</v>
      </c>
      <c r="G89" s="913"/>
    </row>
    <row r="90" spans="1:7" x14ac:dyDescent="0.2">
      <c r="A90" s="907" t="s">
        <v>481</v>
      </c>
      <c r="B90" s="907" t="s">
        <v>172</v>
      </c>
      <c r="C90" s="909">
        <f>'Revenues 9-14'!B54</f>
        <v>1434</v>
      </c>
      <c r="D90" s="910" t="str">
        <f>'Revenues 9-14'!A54</f>
        <v>CTE - Transp Fees from Other Sources (Out of State)</v>
      </c>
      <c r="E90" s="905"/>
      <c r="F90" s="1809">
        <f>'Revenues 9-14'!F54</f>
        <v>0</v>
      </c>
      <c r="G90" s="913"/>
    </row>
    <row r="91" spans="1:7" x14ac:dyDescent="0.2">
      <c r="A91" s="907" t="s">
        <v>481</v>
      </c>
      <c r="B91" s="907" t="s">
        <v>173</v>
      </c>
      <c r="C91" s="914">
        <f>'Revenues 9-14'!B55</f>
        <v>1441</v>
      </c>
      <c r="D91" s="910" t="str">
        <f>'Revenues 9-14'!A55</f>
        <v>Special Ed - Transp Fees from Pupils or Parents (In State)</v>
      </c>
      <c r="E91" s="905"/>
      <c r="F91" s="1809">
        <f>'Revenues 9-14'!F55</f>
        <v>0</v>
      </c>
      <c r="G91" s="913"/>
    </row>
    <row r="92" spans="1:7" x14ac:dyDescent="0.2">
      <c r="A92" s="907" t="s">
        <v>481</v>
      </c>
      <c r="B92" s="907" t="s">
        <v>174</v>
      </c>
      <c r="C92" s="909">
        <f>'Revenues 9-14'!B57</f>
        <v>1443</v>
      </c>
      <c r="D92" s="910" t="str">
        <f>'Revenues 9-14'!A57</f>
        <v>Special Ed - Transp Fees from Other Sources (In State)</v>
      </c>
      <c r="E92" s="905"/>
      <c r="F92" s="1809">
        <f>'Revenues 9-14'!F57</f>
        <v>0</v>
      </c>
      <c r="G92" s="915"/>
    </row>
    <row r="93" spans="1:7" x14ac:dyDescent="0.2">
      <c r="A93" s="907" t="s">
        <v>481</v>
      </c>
      <c r="B93" s="907" t="s">
        <v>175</v>
      </c>
      <c r="C93" s="909">
        <f>'Revenues 9-14'!B58</f>
        <v>1444</v>
      </c>
      <c r="D93" s="910" t="str">
        <f>'Revenues 9-14'!A58</f>
        <v>Special Ed - Transp Fees from Other Sources (Out of State)</v>
      </c>
      <c r="E93" s="905"/>
      <c r="F93" s="1809">
        <f>'Revenues 9-14'!F58</f>
        <v>0</v>
      </c>
      <c r="G93" s="915"/>
    </row>
    <row r="94" spans="1:7" x14ac:dyDescent="0.2">
      <c r="A94" s="907" t="s">
        <v>479</v>
      </c>
      <c r="B94" s="907" t="s">
        <v>176</v>
      </c>
      <c r="C94" s="909">
        <v>1600</v>
      </c>
      <c r="D94" s="916" t="str">
        <f>'Revenues 9-14'!A75</f>
        <v>Total Food Service</v>
      </c>
      <c r="E94" s="905"/>
      <c r="F94" s="1809">
        <f>'Revenues 9-14'!C75</f>
        <v>0</v>
      </c>
      <c r="G94" s="911"/>
    </row>
    <row r="95" spans="1:7" x14ac:dyDescent="0.2">
      <c r="A95" s="907" t="s">
        <v>142</v>
      </c>
      <c r="B95" s="907" t="s">
        <v>177</v>
      </c>
      <c r="C95" s="909">
        <v>1700</v>
      </c>
      <c r="D95" s="917" t="str">
        <f>'Revenues 9-14'!A82</f>
        <v>Total District/School Activity Income</v>
      </c>
      <c r="E95" s="905"/>
      <c r="F95" s="1809">
        <f>SUM('Revenues 9-14'!C82,'Revenues 9-14'!D82)</f>
        <v>0</v>
      </c>
      <c r="G95" s="911"/>
    </row>
    <row r="96" spans="1:7" x14ac:dyDescent="0.2">
      <c r="A96" s="907" t="s">
        <v>479</v>
      </c>
      <c r="B96" s="907" t="s">
        <v>178</v>
      </c>
      <c r="C96" s="909">
        <f>'Revenues 9-14'!B84</f>
        <v>1811</v>
      </c>
      <c r="D96" s="910" t="str">
        <f>'Revenues 9-14'!A84</f>
        <v>Rentals - Regular Textbooks</v>
      </c>
      <c r="E96" s="905"/>
      <c r="F96" s="1809">
        <f>'Revenues 9-14'!C84</f>
        <v>0</v>
      </c>
      <c r="G96" s="911"/>
    </row>
    <row r="97" spans="1:7" x14ac:dyDescent="0.2">
      <c r="A97" s="907" t="s">
        <v>479</v>
      </c>
      <c r="B97" s="907" t="s">
        <v>179</v>
      </c>
      <c r="C97" s="909">
        <f>'Revenues 9-14'!B87</f>
        <v>1819</v>
      </c>
      <c r="D97" s="910" t="str">
        <f>'Revenues 9-14'!A87</f>
        <v>Rentals - Other (Describe &amp; Itemize)</v>
      </c>
      <c r="E97" s="905"/>
      <c r="F97" s="1809">
        <f>'Revenues 9-14'!C87</f>
        <v>0</v>
      </c>
      <c r="G97" s="911"/>
    </row>
    <row r="98" spans="1:7" x14ac:dyDescent="0.2">
      <c r="A98" s="907" t="s">
        <v>479</v>
      </c>
      <c r="B98" s="907" t="s">
        <v>180</v>
      </c>
      <c r="C98" s="909">
        <f>'Revenues 9-14'!B88</f>
        <v>1821</v>
      </c>
      <c r="D98" s="910" t="str">
        <f>'Revenues 9-14'!A88</f>
        <v>Sales - Regular Textbooks</v>
      </c>
      <c r="E98" s="905"/>
      <c r="F98" s="1809">
        <f>'Revenues 9-14'!C88</f>
        <v>0</v>
      </c>
      <c r="G98" s="911"/>
    </row>
    <row r="99" spans="1:7" x14ac:dyDescent="0.2">
      <c r="A99" s="907" t="s">
        <v>479</v>
      </c>
      <c r="B99" s="907" t="s">
        <v>181</v>
      </c>
      <c r="C99" s="909">
        <f>'Revenues 9-14'!B91</f>
        <v>1829</v>
      </c>
      <c r="D99" s="910" t="str">
        <f>'Revenues 9-14'!A91</f>
        <v>Sales - Other (Describe &amp; Itemize)</v>
      </c>
      <c r="E99" s="905"/>
      <c r="F99" s="1809">
        <f>'Revenues 9-14'!C91</f>
        <v>0</v>
      </c>
      <c r="G99" s="911"/>
    </row>
    <row r="100" spans="1:7" x14ac:dyDescent="0.2">
      <c r="A100" s="907" t="s">
        <v>479</v>
      </c>
      <c r="B100" s="907" t="s">
        <v>182</v>
      </c>
      <c r="C100" s="909">
        <f>'Revenues 9-14'!B92</f>
        <v>1890</v>
      </c>
      <c r="D100" s="910" t="str">
        <f>'Revenues 9-14'!A92</f>
        <v>Other (Describe &amp; Itemize)</v>
      </c>
      <c r="E100" s="905"/>
      <c r="F100" s="1809">
        <f>'Revenues 9-14'!C92</f>
        <v>0</v>
      </c>
      <c r="G100" s="911"/>
    </row>
    <row r="101" spans="1:7" x14ac:dyDescent="0.2">
      <c r="A101" s="907" t="s">
        <v>142</v>
      </c>
      <c r="B101" s="907" t="s">
        <v>183</v>
      </c>
      <c r="C101" s="909">
        <f>'Revenues 9-14'!B95</f>
        <v>1910</v>
      </c>
      <c r="D101" s="910" t="str">
        <f>'Revenues 9-14'!A95</f>
        <v>Rentals</v>
      </c>
      <c r="E101" s="905"/>
      <c r="F101" s="1809">
        <f>SUM('Revenues 9-14'!C95:D95)</f>
        <v>0</v>
      </c>
      <c r="G101" s="911"/>
    </row>
    <row r="102" spans="1:7" x14ac:dyDescent="0.2">
      <c r="A102" s="907" t="s">
        <v>524</v>
      </c>
      <c r="B102" s="907" t="s">
        <v>184</v>
      </c>
      <c r="C102" s="909">
        <f>'Revenues 9-14'!B98</f>
        <v>1940</v>
      </c>
      <c r="D102" s="910" t="str">
        <f>'Revenues 9-14'!A98</f>
        <v>Services Provided Other Districts</v>
      </c>
      <c r="E102" s="905"/>
      <c r="F102" s="1809">
        <f>SUM('Revenues 9-14'!C98,'Revenues 9-14'!D98,'Revenues 9-14'!F98)</f>
        <v>0</v>
      </c>
      <c r="G102" s="911"/>
    </row>
    <row r="103" spans="1:7" x14ac:dyDescent="0.2">
      <c r="A103" s="907" t="s">
        <v>1066</v>
      </c>
      <c r="B103" s="907" t="s">
        <v>834</v>
      </c>
      <c r="C103" s="909">
        <f>'Revenues 9-14'!B104</f>
        <v>1991</v>
      </c>
      <c r="D103" s="918" t="str">
        <f>'Revenues 9-14'!A104</f>
        <v>Payment from Other Districts</v>
      </c>
      <c r="E103" s="905"/>
      <c r="F103" s="1809">
        <f>SUM('Revenues 9-14'!C104,'Revenues 9-14'!D104,'Revenues 9-14'!E104,'Revenues 9-14'!F104,'Revenues 9-14'!G104)</f>
        <v>390</v>
      </c>
      <c r="G103" s="911"/>
    </row>
    <row r="104" spans="1:7" x14ac:dyDescent="0.2">
      <c r="A104" s="907" t="s">
        <v>479</v>
      </c>
      <c r="B104" s="907" t="s">
        <v>841</v>
      </c>
      <c r="C104" s="909">
        <f>'Revenues 9-14'!B106</f>
        <v>1993</v>
      </c>
      <c r="D104" s="910" t="str">
        <f>'Revenues 9-14'!A106</f>
        <v>Other Local Fees (Describe &amp; Itemize)</v>
      </c>
      <c r="E104" s="905"/>
      <c r="F104" s="1809">
        <f>('Revenues 9-14'!C106)</f>
        <v>0</v>
      </c>
      <c r="G104" s="911"/>
    </row>
    <row r="105" spans="1:7" x14ac:dyDescent="0.2">
      <c r="A105" s="907" t="s">
        <v>524</v>
      </c>
      <c r="B105" s="907" t="s">
        <v>842</v>
      </c>
      <c r="C105" s="912">
        <v>3100</v>
      </c>
      <c r="D105" s="918" t="str">
        <f>'Revenues 9-14'!A131</f>
        <v>Total Special Education</v>
      </c>
      <c r="E105" s="905"/>
      <c r="F105" s="1809">
        <f>SUM('Revenues 9-14'!C131:D131,'Revenues 9-14'!F131)</f>
        <v>463761</v>
      </c>
      <c r="G105" s="911"/>
    </row>
    <row r="106" spans="1:7" x14ac:dyDescent="0.2">
      <c r="A106" s="907" t="s">
        <v>694</v>
      </c>
      <c r="B106" s="907" t="s">
        <v>1483</v>
      </c>
      <c r="C106" s="919">
        <v>3200</v>
      </c>
      <c r="D106" s="910" t="str">
        <f>'Revenues 9-14'!A140</f>
        <v>Total Career and Technical Education</v>
      </c>
      <c r="E106" s="905"/>
      <c r="F106" s="1809">
        <f>SUM('Revenues 9-14'!C140,'Revenues 9-14'!D140,'Revenues 9-14'!G140)</f>
        <v>0</v>
      </c>
      <c r="G106" s="911"/>
    </row>
    <row r="107" spans="1:7" x14ac:dyDescent="0.2">
      <c r="A107" s="920" t="s">
        <v>685</v>
      </c>
      <c r="B107" s="907" t="s">
        <v>843</v>
      </c>
      <c r="C107" s="919">
        <v>3300</v>
      </c>
      <c r="D107" s="910" t="str">
        <f>'Revenues 9-14'!A144</f>
        <v>Total Bilingual Ed</v>
      </c>
      <c r="E107" s="905"/>
      <c r="F107" s="1809">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9">
        <f>'Revenues 9-14'!C145</f>
        <v>850</v>
      </c>
      <c r="G108" s="911"/>
    </row>
    <row r="109" spans="1:7" x14ac:dyDescent="0.2">
      <c r="A109" s="907" t="s">
        <v>694</v>
      </c>
      <c r="B109" s="907" t="s">
        <v>845</v>
      </c>
      <c r="C109" s="919">
        <f>'Revenues 9-14'!B146</f>
        <v>3365</v>
      </c>
      <c r="D109" s="910" t="str">
        <f>'Revenues 9-14'!A146</f>
        <v>School Breakfast Initiative</v>
      </c>
      <c r="E109" s="905"/>
      <c r="F109" s="1809">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9">
        <f>SUM('Revenues 9-14'!C147,'Revenues 9-14'!D147)</f>
        <v>0</v>
      </c>
      <c r="G110" s="911"/>
    </row>
    <row r="111" spans="1:7" x14ac:dyDescent="0.2">
      <c r="A111" s="907" t="s">
        <v>689</v>
      </c>
      <c r="B111" s="907" t="s">
        <v>802</v>
      </c>
      <c r="C111" s="921">
        <v>3500</v>
      </c>
      <c r="D111" s="910" t="str">
        <f>'Revenues 9-14'!A154</f>
        <v>Total Transportation</v>
      </c>
      <c r="E111" s="905"/>
      <c r="F111" s="1809">
        <f>SUM('Revenues 9-14'!C154,'Revenues 9-14'!D154,'Revenues 9-14'!F154,'Revenues 9-14'!G154)</f>
        <v>0</v>
      </c>
      <c r="G111" s="911"/>
    </row>
    <row r="112" spans="1:7" x14ac:dyDescent="0.2">
      <c r="A112" s="907" t="s">
        <v>479</v>
      </c>
      <c r="B112" s="907" t="s">
        <v>847</v>
      </c>
      <c r="C112" s="919">
        <f>'Revenues 9-14'!B155</f>
        <v>3610</v>
      </c>
      <c r="D112" s="910" t="str">
        <f>'Revenues 9-14'!A155</f>
        <v>Learning Improvement - Change Grants</v>
      </c>
      <c r="E112" s="905"/>
      <c r="F112" s="1809">
        <f>'Revenues 9-14'!C155</f>
        <v>0</v>
      </c>
      <c r="G112" s="911"/>
    </row>
    <row r="113" spans="1:7" x14ac:dyDescent="0.2">
      <c r="A113" s="907" t="s">
        <v>689</v>
      </c>
      <c r="B113" s="907" t="s">
        <v>848</v>
      </c>
      <c r="C113" s="919">
        <f>'Revenues 9-14'!B156</f>
        <v>3660</v>
      </c>
      <c r="D113" s="910" t="str">
        <f>'Revenues 9-14'!A156</f>
        <v>Scientific Literacy</v>
      </c>
      <c r="E113" s="905"/>
      <c r="F113" s="1809">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9">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9">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9">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9">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30">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9">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9">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31">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31">
        <f>SUM('Revenues 9-14'!C166:G166)</f>
        <v>0</v>
      </c>
      <c r="G122" s="911"/>
    </row>
    <row r="123" spans="1:7" x14ac:dyDescent="0.2">
      <c r="A123" s="922" t="s">
        <v>525</v>
      </c>
      <c r="B123" s="922" t="s">
        <v>853</v>
      </c>
      <c r="C123" s="923">
        <f>'Revenues 9-14'!B167</f>
        <v>3815</v>
      </c>
      <c r="D123" s="924" t="str">
        <f>'Revenues 9-14'!A167</f>
        <v>State Charter Schools</v>
      </c>
      <c r="E123" s="905"/>
      <c r="F123" s="1931">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9">
        <f>'Revenues 9-14'!D170</f>
        <v>0</v>
      </c>
      <c r="G124" s="929"/>
    </row>
    <row r="125" spans="1:7" x14ac:dyDescent="0.2">
      <c r="A125" s="926" t="s">
        <v>521</v>
      </c>
      <c r="B125" s="926" t="s">
        <v>855</v>
      </c>
      <c r="C125" s="927">
        <f>'Revenues 9-14'!B171</f>
        <v>3999</v>
      </c>
      <c r="D125" s="928" t="s">
        <v>564</v>
      </c>
      <c r="E125" s="930"/>
      <c r="F125" s="1809">
        <f>SUM('Revenues 9-14'!C171:G171,'Revenues 9-14'!J171)</f>
        <v>0</v>
      </c>
      <c r="G125" s="929"/>
    </row>
    <row r="126" spans="1:7" x14ac:dyDescent="0.2">
      <c r="A126" s="926" t="s">
        <v>479</v>
      </c>
      <c r="B126" s="926" t="s">
        <v>856</v>
      </c>
      <c r="C126" s="931">
        <f>'Revenues 9-14'!B180</f>
        <v>4045</v>
      </c>
      <c r="D126" s="928" t="str">
        <f>'Revenues 9-14'!A180 &amp; " (Subtract)"</f>
        <v>Head Start (Subtract)</v>
      </c>
      <c r="E126" s="905"/>
      <c r="F126" s="1809">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9">
        <f>SUM('Revenues 9-14'!C184,'Revenues 9-14'!D184,'Revenues 9-14'!F184,'Revenues 9-14'!G184)</f>
        <v>0</v>
      </c>
      <c r="G127" s="929"/>
    </row>
    <row r="128" spans="1:7" x14ac:dyDescent="0.2">
      <c r="A128" s="926" t="s">
        <v>689</v>
      </c>
      <c r="B128" s="926" t="s">
        <v>858</v>
      </c>
      <c r="C128" s="931">
        <v>4100</v>
      </c>
      <c r="D128" s="932" t="str">
        <f>'Revenues 9-14'!A191</f>
        <v>Total Title V</v>
      </c>
      <c r="E128" s="905"/>
      <c r="F128" s="1809">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9">
        <f>SUM('Revenues 9-14'!C201,'Revenues 9-14'!G201)</f>
        <v>43831</v>
      </c>
      <c r="G129" s="929"/>
    </row>
    <row r="130" spans="1:7" x14ac:dyDescent="0.2">
      <c r="A130" s="926" t="s">
        <v>689</v>
      </c>
      <c r="B130" s="926" t="s">
        <v>804</v>
      </c>
      <c r="C130" s="931">
        <v>4300</v>
      </c>
      <c r="D130" s="932" t="str">
        <f>'Revenues 9-14'!A211</f>
        <v>Total Title I</v>
      </c>
      <c r="E130" s="905"/>
      <c r="F130" s="1809">
        <f>SUM('Revenues 9-14'!C211,'Revenues 9-14'!D211,'Revenues 9-14'!F211,'Revenues 9-14'!G211)</f>
        <v>0</v>
      </c>
      <c r="G130" s="929"/>
    </row>
    <row r="131" spans="1:7" x14ac:dyDescent="0.2">
      <c r="A131" s="926" t="s">
        <v>689</v>
      </c>
      <c r="B131" s="926" t="s">
        <v>805</v>
      </c>
      <c r="C131" s="931">
        <v>4400</v>
      </c>
      <c r="D131" s="932" t="str">
        <f>'Revenues 9-14'!A216</f>
        <v>Total Title IV</v>
      </c>
      <c r="E131" s="905"/>
      <c r="F131" s="1809">
        <f>SUM('Revenues 9-14'!C216,'Revenues 9-14'!D216,'Revenues 9-14'!F216,'Revenues 9-14'!G216)</f>
        <v>0</v>
      </c>
      <c r="G131" s="929"/>
    </row>
    <row r="132" spans="1:7" x14ac:dyDescent="0.2">
      <c r="A132" s="926" t="s">
        <v>689</v>
      </c>
      <c r="B132" s="926" t="s">
        <v>190</v>
      </c>
      <c r="C132" s="931">
        <f>'Revenues 9-14'!B220</f>
        <v>4620</v>
      </c>
      <c r="D132" s="932" t="str">
        <f>'Revenues 9-14'!A220</f>
        <v>Fed - Spec Education - IDEA - Flow Through</v>
      </c>
      <c r="E132" s="905"/>
      <c r="F132" s="1809">
        <f>SUM('Revenues 9-14'!C220:D220,'Revenues 9-14'!F220:G220)</f>
        <v>1473738</v>
      </c>
      <c r="G132" s="929"/>
    </row>
    <row r="133" spans="1:7" x14ac:dyDescent="0.2">
      <c r="A133" s="926" t="s">
        <v>689</v>
      </c>
      <c r="B133" s="926" t="s">
        <v>191</v>
      </c>
      <c r="C133" s="931">
        <f>'Revenues 9-14'!B221</f>
        <v>4625</v>
      </c>
      <c r="D133" s="932" t="str">
        <f>'Revenues 9-14'!A221</f>
        <v>Fed - Spec Education - IDEA - Room &amp; Board</v>
      </c>
      <c r="E133" s="905"/>
      <c r="F133" s="1809">
        <f>SUM('Revenues 9-14'!C221,'Revenues 9-14'!D221,'Revenues 9-14'!F221,'Revenues 9-14'!G221)</f>
        <v>0</v>
      </c>
      <c r="G133" s="929"/>
    </row>
    <row r="134" spans="1:7" x14ac:dyDescent="0.2">
      <c r="A134" s="926" t="s">
        <v>689</v>
      </c>
      <c r="B134" s="926" t="s">
        <v>859</v>
      </c>
      <c r="C134" s="931">
        <f>'Revenues 9-14'!B222</f>
        <v>4630</v>
      </c>
      <c r="D134" s="932" t="str">
        <f>'Revenues 9-14'!A222</f>
        <v>Fed - Spec Education - IDEA - Discretionary</v>
      </c>
      <c r="E134" s="905"/>
      <c r="F134" s="1809">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9">
        <f>SUM('Revenues 9-14'!C223:D223,'Revenues 9-14'!F223:G223)</f>
        <v>0</v>
      </c>
      <c r="G135" s="929"/>
    </row>
    <row r="136" spans="1:7" x14ac:dyDescent="0.2">
      <c r="A136" s="926" t="s">
        <v>694</v>
      </c>
      <c r="B136" s="926" t="s">
        <v>807</v>
      </c>
      <c r="C136" s="931">
        <v>4700</v>
      </c>
      <c r="D136" s="928" t="str">
        <f>'Revenues 9-14'!A228</f>
        <v>Total CTE - Perkins</v>
      </c>
      <c r="E136" s="905"/>
      <c r="F136" s="1809">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931">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9">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9">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9">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9">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9">
        <v>0</v>
      </c>
      <c r="G142" s="904"/>
    </row>
    <row r="143" spans="1:7" s="866" customFormat="1" hidden="1" x14ac:dyDescent="0.2">
      <c r="A143" s="933" t="s">
        <v>215</v>
      </c>
      <c r="B143" s="933" t="s">
        <v>228</v>
      </c>
      <c r="C143" s="934" t="s">
        <v>225</v>
      </c>
      <c r="D143" s="935" t="str">
        <f>'Revenues 9-14'!A237</f>
        <v>ARRA - IDEA - Part B - Flow-Through</v>
      </c>
      <c r="E143" s="936"/>
      <c r="F143" s="1809">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9">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9">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9">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9">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9">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9">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9">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9">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9">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9">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9">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9">
        <v>0</v>
      </c>
      <c r="G155" s="904"/>
    </row>
    <row r="156" spans="1:7" s="866" customFormat="1" hidden="1" x14ac:dyDescent="0.2">
      <c r="A156" s="933" t="s">
        <v>215</v>
      </c>
      <c r="B156" s="933" t="s">
        <v>250</v>
      </c>
      <c r="C156" s="934" t="s">
        <v>247</v>
      </c>
      <c r="D156" s="935" t="str">
        <f>'Revenues 9-14'!A254</f>
        <v>Other ARRA Funds VII</v>
      </c>
      <c r="E156" s="936"/>
      <c r="F156" s="1809">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9">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9">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9">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9">
        <f>SUM('Revenues 9-14'!C258:G258,'Revenues 9-14'!J258)</f>
        <v>0</v>
      </c>
      <c r="G160" s="904"/>
    </row>
    <row r="161" spans="1:7" s="866" customFormat="1" x14ac:dyDescent="0.2">
      <c r="A161" s="937" t="s">
        <v>521</v>
      </c>
      <c r="B161" s="938" t="s">
        <v>1564</v>
      </c>
      <c r="C161" s="939" t="s">
        <v>896</v>
      </c>
      <c r="D161" s="940" t="s">
        <v>808</v>
      </c>
      <c r="E161" s="941"/>
      <c r="F161" s="1809">
        <f>SUM(F137:F160)</f>
        <v>0</v>
      </c>
      <c r="G161" s="904"/>
    </row>
    <row r="162" spans="1:7" s="866" customFormat="1" x14ac:dyDescent="0.2">
      <c r="A162" s="937" t="s">
        <v>479</v>
      </c>
      <c r="B162" s="938" t="s">
        <v>1501</v>
      </c>
      <c r="C162" s="939" t="s">
        <v>1499</v>
      </c>
      <c r="D162" s="940" t="s">
        <v>1500</v>
      </c>
      <c r="E162" s="941"/>
      <c r="F162" s="1809">
        <f>SUM('Revenues 9-14'!C260)</f>
        <v>0</v>
      </c>
      <c r="G162" s="904"/>
    </row>
    <row r="163" spans="1:7" s="866" customFormat="1" x14ac:dyDescent="0.2">
      <c r="A163" s="937" t="s">
        <v>521</v>
      </c>
      <c r="B163" s="938" t="s">
        <v>1541</v>
      </c>
      <c r="C163" s="939" t="s">
        <v>1542</v>
      </c>
      <c r="D163" s="940" t="s">
        <v>1543</v>
      </c>
      <c r="E163" s="941"/>
      <c r="F163" s="1809">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9">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9">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9">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9">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9">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31">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31">
        <f>SUM('Revenues 9-14'!C268,'Revenues 9-14'!D268,'Revenues 9-14'!F268,'Revenues 9-14'!G268)</f>
        <v>0</v>
      </c>
      <c r="G170" s="929"/>
    </row>
    <row r="171" spans="1:7" x14ac:dyDescent="0.2">
      <c r="A171" s="926" t="s">
        <v>689</v>
      </c>
      <c r="B171" s="926" t="s">
        <v>864</v>
      </c>
      <c r="C171" s="931">
        <f>'Revenues 9-14'!B269</f>
        <v>4960</v>
      </c>
      <c r="D171" s="928" t="str">
        <f>'Revenues 9-14'!A269</f>
        <v>Federal Charter Schools</v>
      </c>
      <c r="E171" s="905"/>
      <c r="F171" s="1809">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9">
        <f>SUM('Revenues 9-14'!C270:D270,'Revenues 9-14'!F270:G270)</f>
        <v>74042</v>
      </c>
      <c r="G172" s="946">
        <v>6320</v>
      </c>
    </row>
    <row r="173" spans="1:7" x14ac:dyDescent="0.2">
      <c r="A173" s="926" t="s">
        <v>689</v>
      </c>
      <c r="B173" s="926" t="s">
        <v>1503</v>
      </c>
      <c r="C173" s="931">
        <f>'Revenues 9-14'!B271</f>
        <v>4992</v>
      </c>
      <c r="D173" s="932" t="str">
        <f>'Revenues 9-14'!A271</f>
        <v>Medicaid Matching Funds - Fee-for-Service Program</v>
      </c>
      <c r="E173" s="905"/>
      <c r="F173" s="1809">
        <f>SUM('Revenues 9-14'!C271:D271,'Revenues 9-14'!F271:G271)</f>
        <v>93070</v>
      </c>
      <c r="G173" s="946"/>
    </row>
    <row r="174" spans="1:7" x14ac:dyDescent="0.2">
      <c r="A174" s="947" t="s">
        <v>689</v>
      </c>
      <c r="B174" s="943" t="s">
        <v>1558</v>
      </c>
      <c r="C174" s="944">
        <f>'Revenues 9-14'!B272</f>
        <v>4999</v>
      </c>
      <c r="D174" s="945" t="str">
        <f>'Revenues 9-14'!A272</f>
        <v>Other Restricted Revenue from Federal Sources (Describe &amp; Itemize)</v>
      </c>
      <c r="E174" s="905"/>
      <c r="F174" s="1809">
        <f>SUM('Revenues 9-14'!C272:D272,'Revenues 9-14'!F272:G272)</f>
        <v>0</v>
      </c>
      <c r="G174" s="926"/>
    </row>
    <row r="175" spans="1:7" x14ac:dyDescent="0.2">
      <c r="A175" s="1942" t="s">
        <v>5</v>
      </c>
      <c r="B175" s="1943" t="s">
        <v>2055</v>
      </c>
      <c r="C175" s="1944">
        <v>3100</v>
      </c>
      <c r="D175" s="1945" t="s">
        <v>2058</v>
      </c>
      <c r="E175" s="905"/>
      <c r="F175" s="1929"/>
      <c r="G175" s="926"/>
    </row>
    <row r="176" spans="1:7" x14ac:dyDescent="0.2">
      <c r="A176" s="1942" t="s">
        <v>685</v>
      </c>
      <c r="B176" s="1943" t="s">
        <v>2055</v>
      </c>
      <c r="C176" s="1944">
        <v>3300</v>
      </c>
      <c r="D176" s="1945" t="s">
        <v>2059</v>
      </c>
      <c r="E176" s="905"/>
      <c r="F176" s="1929"/>
      <c r="G176" s="926"/>
    </row>
    <row r="177" spans="1:7" ht="6" customHeight="1" x14ac:dyDescent="0.2">
      <c r="A177" s="926"/>
      <c r="B177" s="926"/>
      <c r="C177" s="948"/>
      <c r="D177" s="926"/>
      <c r="E177" s="905"/>
      <c r="F177" s="949"/>
      <c r="G177" s="946"/>
    </row>
    <row r="178" spans="1:7" x14ac:dyDescent="0.2">
      <c r="A178" s="1790"/>
      <c r="B178" s="1804"/>
      <c r="C178" s="1805"/>
      <c r="D178" s="1806" t="s">
        <v>2011</v>
      </c>
      <c r="E178" s="1807" t="s">
        <v>1015</v>
      </c>
      <c r="F178" s="1808">
        <f>SUM(F84:F136,F161:F176)</f>
        <v>2149682</v>
      </c>
    </row>
    <row r="179" spans="1:7" ht="12" customHeight="1" x14ac:dyDescent="0.2">
      <c r="A179" s="1790"/>
      <c r="B179" s="1804"/>
      <c r="C179" s="1805"/>
      <c r="D179" s="1806" t="s">
        <v>2012</v>
      </c>
      <c r="E179" s="1807"/>
      <c r="F179" s="1809">
        <f>'PCTC-OEPP 27-28'!F77-F178</f>
        <v>5214875</v>
      </c>
    </row>
    <row r="180" spans="1:7" ht="12" customHeight="1" x14ac:dyDescent="0.2">
      <c r="A180" s="1790"/>
      <c r="B180" s="1804"/>
      <c r="C180" s="1805"/>
      <c r="D180" s="1806" t="s">
        <v>1921</v>
      </c>
      <c r="E180" s="1807"/>
      <c r="F180" s="1809">
        <f>'Cap Outlay Deprec 26'!I18</f>
        <v>20991.3</v>
      </c>
    </row>
    <row r="181" spans="1:7" ht="12" customHeight="1" x14ac:dyDescent="0.2">
      <c r="A181" s="1790"/>
      <c r="B181" s="1804"/>
      <c r="C181" s="1805"/>
      <c r="D181" s="1806" t="s">
        <v>2013</v>
      </c>
      <c r="E181" s="1807"/>
      <c r="F181" s="1809">
        <f>F179+F180</f>
        <v>5235866.3</v>
      </c>
    </row>
    <row r="182" spans="1:7" ht="12" customHeight="1" x14ac:dyDescent="0.2">
      <c r="A182" s="1790"/>
      <c r="B182" s="1810"/>
      <c r="C182" s="1805"/>
      <c r="D182" s="1806" t="str">
        <f>D78</f>
        <v>9 Month ADA from District Average Daily Attendance/Prior General State Aid Inquiry 2017-2018</v>
      </c>
      <c r="E182" s="1807"/>
      <c r="F182" s="1811">
        <f>'PCTC-OEPP 27-28'!F78</f>
        <v>0</v>
      </c>
      <c r="G182" s="929"/>
    </row>
    <row r="183" spans="1:7" ht="12" customHeight="1" thickBot="1" x14ac:dyDescent="0.25">
      <c r="A183" s="1790"/>
      <c r="B183" s="1810"/>
      <c r="C183" s="1805"/>
      <c r="D183" s="1806" t="s">
        <v>2014</v>
      </c>
      <c r="E183" s="1807" t="s">
        <v>1626</v>
      </c>
      <c r="F183" s="1812" t="e">
        <f>F181/F182</f>
        <v>#DIV/0!</v>
      </c>
      <c r="G183" s="855">
        <v>6323</v>
      </c>
    </row>
    <row r="184" spans="1:7" ht="12" thickTop="1" x14ac:dyDescent="0.2">
      <c r="B184" s="929"/>
      <c r="C184" s="948"/>
      <c r="D184" s="929"/>
      <c r="E184" s="948"/>
      <c r="F184" s="929"/>
      <c r="G184" s="950">
        <v>6326</v>
      </c>
    </row>
    <row r="185" spans="1:7" ht="12.2" customHeight="1" x14ac:dyDescent="0.2">
      <c r="A185" s="929" t="s">
        <v>2057</v>
      </c>
      <c r="B185" s="929"/>
      <c r="C185" s="948"/>
      <c r="D185" s="929"/>
      <c r="E185" s="948"/>
      <c r="F185" s="929"/>
      <c r="G185" s="929"/>
    </row>
    <row r="186" spans="1:7" s="1946" customFormat="1" ht="12.2" customHeight="1" x14ac:dyDescent="0.2">
      <c r="A186" s="1946" t="s">
        <v>2062</v>
      </c>
      <c r="B186" s="1947"/>
      <c r="C186" s="1948"/>
      <c r="D186" s="1947"/>
      <c r="E186" s="1948"/>
      <c r="F186" s="1947"/>
      <c r="G186" s="1947"/>
    </row>
    <row r="187" spans="1:7" s="1946" customFormat="1" ht="12.2" customHeight="1" x14ac:dyDescent="0.2">
      <c r="A187" s="1949" t="s">
        <v>2063</v>
      </c>
      <c r="C187" s="1948"/>
      <c r="D187" s="1947"/>
      <c r="E187" s="1948"/>
      <c r="F187" s="1947"/>
      <c r="G187" s="1947"/>
    </row>
    <row r="188" spans="1:7" ht="12" customHeight="1" x14ac:dyDescent="0.2">
      <c r="C188" s="948"/>
      <c r="D188" s="929"/>
      <c r="E188" s="948"/>
      <c r="F188" s="929"/>
      <c r="G188" s="929"/>
    </row>
    <row r="189" spans="1:7" x14ac:dyDescent="0.2">
      <c r="A189" s="1950" t="s">
        <v>2061</v>
      </c>
      <c r="B189" s="1951" t="s">
        <v>2060</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A25" sqref="A25:H25"/>
      <selection pane="bottomLeft" activeCell="A17" sqref="A17"/>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1937</v>
      </c>
      <c r="B1" s="1680"/>
      <c r="C1" s="1680"/>
      <c r="D1" s="1680"/>
      <c r="E1" s="1680"/>
      <c r="F1" s="1680"/>
      <c r="G1" s="1680"/>
    </row>
    <row r="2" spans="1:7" x14ac:dyDescent="0.25">
      <c r="A2" s="1677"/>
      <c r="B2" s="1677"/>
      <c r="C2" s="1678" t="s">
        <v>1036</v>
      </c>
      <c r="D2" s="1677"/>
      <c r="E2" s="1677"/>
      <c r="F2" s="1677"/>
      <c r="G2" s="1677"/>
    </row>
    <row r="3" spans="1:7" ht="5.45" customHeight="1" x14ac:dyDescent="0.25">
      <c r="A3" s="1565"/>
      <c r="B3" s="1565"/>
      <c r="C3" s="1565"/>
      <c r="D3" s="1565"/>
      <c r="E3" s="1565"/>
      <c r="F3" s="1565"/>
      <c r="G3" s="1565"/>
    </row>
    <row r="4" spans="1:7" ht="18.75" customHeight="1" x14ac:dyDescent="0.25">
      <c r="A4" s="2413" t="s">
        <v>1922</v>
      </c>
      <c r="B4" s="2414"/>
      <c r="C4" s="2414"/>
      <c r="D4" s="2414"/>
      <c r="E4" s="2414"/>
      <c r="F4" s="2414"/>
      <c r="G4" s="2415"/>
    </row>
    <row r="5" spans="1:7" x14ac:dyDescent="0.25">
      <c r="A5" s="2416"/>
      <c r="B5" s="2417"/>
      <c r="C5" s="2417"/>
      <c r="D5" s="2417"/>
      <c r="E5" s="2417"/>
      <c r="F5" s="2417"/>
      <c r="G5" s="2418"/>
    </row>
    <row r="6" spans="1:7" ht="18.75" x14ac:dyDescent="0.25">
      <c r="A6" s="1554" t="s">
        <v>1923</v>
      </c>
      <c r="B6" s="1555"/>
      <c r="C6" s="1555"/>
      <c r="D6" s="1555"/>
      <c r="E6" s="1555"/>
      <c r="F6" s="1555"/>
      <c r="G6" s="1556"/>
    </row>
    <row r="7" spans="1:7" ht="30.75" customHeight="1" x14ac:dyDescent="0.25">
      <c r="A7" s="2419" t="s">
        <v>2072</v>
      </c>
      <c r="B7" s="2420"/>
      <c r="C7" s="2420"/>
      <c r="D7" s="2420"/>
      <c r="E7" s="2420"/>
      <c r="F7" s="2420"/>
      <c r="G7" s="2421"/>
    </row>
    <row r="8" spans="1:7" ht="15.95" customHeight="1" x14ac:dyDescent="0.25">
      <c r="A8" s="2422" t="s">
        <v>2021</v>
      </c>
      <c r="B8" s="2423"/>
      <c r="C8" s="2423"/>
      <c r="D8" s="2423"/>
      <c r="E8" s="2423"/>
      <c r="F8" s="2423"/>
      <c r="G8" s="2424"/>
    </row>
    <row r="9" spans="1:7" ht="35.25" customHeight="1" x14ac:dyDescent="0.25">
      <c r="A9" s="2419" t="s">
        <v>2020</v>
      </c>
      <c r="B9" s="2420"/>
      <c r="C9" s="2420"/>
      <c r="D9" s="2420"/>
      <c r="E9" s="2420"/>
      <c r="F9" s="2420"/>
      <c r="G9" s="2421"/>
    </row>
    <row r="10" spans="1:7" ht="15" customHeight="1" x14ac:dyDescent="0.25">
      <c r="A10" s="1557" t="s">
        <v>1924</v>
      </c>
      <c r="B10" s="1558"/>
      <c r="C10" s="1558"/>
      <c r="D10" s="1558"/>
      <c r="E10" s="1558"/>
      <c r="F10" s="1558"/>
      <c r="G10" s="1559"/>
    </row>
    <row r="11" spans="1:7" ht="17.25" customHeight="1" x14ac:dyDescent="0.25">
      <c r="A11" s="2419" t="s">
        <v>1938</v>
      </c>
      <c r="B11" s="2420"/>
      <c r="C11" s="2420"/>
      <c r="D11" s="2420"/>
      <c r="E11" s="2420"/>
      <c r="F11" s="2420"/>
      <c r="G11" s="2421"/>
    </row>
    <row r="12" spans="1:7" ht="15" customHeight="1" x14ac:dyDescent="0.25">
      <c r="A12" s="1557" t="s">
        <v>1929</v>
      </c>
      <c r="B12" s="1558"/>
      <c r="C12" s="1558"/>
      <c r="D12" s="1558"/>
      <c r="E12" s="1558"/>
      <c r="F12" s="1558"/>
      <c r="G12" s="1559"/>
    </row>
    <row r="13" spans="1:7" ht="32.25" customHeight="1" x14ac:dyDescent="0.25">
      <c r="A13" s="2410" t="s">
        <v>1930</v>
      </c>
      <c r="B13" s="2411"/>
      <c r="C13" s="2411"/>
      <c r="D13" s="2411"/>
      <c r="E13" s="2411"/>
      <c r="F13" s="2411"/>
      <c r="G13" s="2412"/>
    </row>
    <row r="14" spans="1:7" x14ac:dyDescent="0.25">
      <c r="A14" s="1681" t="s">
        <v>1939</v>
      </c>
      <c r="B14" s="1682"/>
      <c r="C14" s="1682"/>
      <c r="D14" s="1682"/>
      <c r="E14" s="1682"/>
      <c r="F14" s="1682"/>
      <c r="G14" s="1683"/>
    </row>
    <row r="15" spans="1:7" ht="61.5" customHeight="1" x14ac:dyDescent="0.25">
      <c r="A15" s="1566" t="s">
        <v>1931</v>
      </c>
      <c r="B15" s="1566" t="s">
        <v>1932</v>
      </c>
      <c r="C15" s="1566" t="s">
        <v>1933</v>
      </c>
      <c r="D15" s="1567" t="s">
        <v>1934</v>
      </c>
      <c r="E15" s="1567" t="s">
        <v>1925</v>
      </c>
      <c r="F15" s="1567" t="s">
        <v>1935</v>
      </c>
      <c r="G15" s="1567" t="s">
        <v>1936</v>
      </c>
    </row>
    <row r="16" spans="1:7" x14ac:dyDescent="0.25">
      <c r="A16" s="1668" t="s">
        <v>1940</v>
      </c>
      <c r="B16" s="1669" t="s">
        <v>1928</v>
      </c>
      <c r="C16" s="1670" t="s">
        <v>1926</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960" t="s">
        <v>2108</v>
      </c>
      <c r="B17" s="1958" t="s">
        <v>2107</v>
      </c>
      <c r="C17" s="1959" t="s">
        <v>2106</v>
      </c>
      <c r="D17" s="1865">
        <v>34774</v>
      </c>
      <c r="E17" s="1560">
        <f t="shared" ref="E17:E141" si="1">IF(D17&lt;=25000,D17,IF(D17&gt;25000,25000,0))</f>
        <v>25000</v>
      </c>
      <c r="F17" s="1813">
        <f t="shared" si="0"/>
        <v>25000</v>
      </c>
      <c r="G17" s="1814">
        <f>IF(F17=0,0,D17-F17)</f>
        <v>9774</v>
      </c>
      <c r="H17" s="1667"/>
    </row>
    <row r="18" spans="1:8" hidden="1" x14ac:dyDescent="0.25">
      <c r="A18" s="1673"/>
      <c r="B18" s="1866"/>
      <c r="C18" s="1676"/>
      <c r="D18" s="1865"/>
      <c r="E18" s="1560">
        <f t="shared" ref="E18:E140" si="2">IF(D18&lt;=25000,D18,IF(D18&gt;25000,25000,0))</f>
        <v>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140" si="4">IF(F18=0,0,D18-F18)</f>
        <v>0</v>
      </c>
    </row>
    <row r="19" spans="1:8" hidden="1" x14ac:dyDescent="0.25">
      <c r="A19" s="1673"/>
      <c r="B19" s="1867"/>
      <c r="C19" s="1676"/>
      <c r="D19" s="1865"/>
      <c r="E19" s="1560">
        <f t="shared" si="2"/>
        <v>0</v>
      </c>
      <c r="F19" s="1813">
        <f t="shared" si="3"/>
        <v>0</v>
      </c>
      <c r="G19" s="1814">
        <f t="shared" si="4"/>
        <v>0</v>
      </c>
    </row>
    <row r="20" spans="1:8" hidden="1" x14ac:dyDescent="0.25">
      <c r="A20" s="1673"/>
      <c r="B20" s="1866"/>
      <c r="C20" s="1676"/>
      <c r="D20" s="1865"/>
      <c r="E20" s="1560">
        <f t="shared" si="2"/>
        <v>0</v>
      </c>
      <c r="F20" s="1813">
        <f t="shared" si="3"/>
        <v>0</v>
      </c>
      <c r="G20" s="1814">
        <f t="shared" si="4"/>
        <v>0</v>
      </c>
    </row>
    <row r="21" spans="1:8" hidden="1" x14ac:dyDescent="0.25">
      <c r="A21" s="1673"/>
      <c r="B21" s="1866"/>
      <c r="C21" s="1676"/>
      <c r="D21" s="1865"/>
      <c r="E21" s="1560">
        <f t="shared" si="2"/>
        <v>0</v>
      </c>
      <c r="F21" s="1813">
        <f t="shared" si="3"/>
        <v>0</v>
      </c>
      <c r="G21" s="1814">
        <f t="shared" si="4"/>
        <v>0</v>
      </c>
    </row>
    <row r="22" spans="1:8" hidden="1" x14ac:dyDescent="0.25">
      <c r="A22" s="1673"/>
      <c r="B22" s="1866"/>
      <c r="C22" s="1676"/>
      <c r="D22" s="1865"/>
      <c r="E22" s="1560">
        <f t="shared" si="2"/>
        <v>0</v>
      </c>
      <c r="F22" s="1813">
        <f t="shared" si="3"/>
        <v>0</v>
      </c>
      <c r="G22" s="1814">
        <f t="shared" si="4"/>
        <v>0</v>
      </c>
    </row>
    <row r="23" spans="1:8" hidden="1" x14ac:dyDescent="0.25">
      <c r="A23" s="1673"/>
      <c r="B23" s="1866"/>
      <c r="C23" s="1676"/>
      <c r="D23" s="1865"/>
      <c r="E23" s="1560">
        <f t="shared" si="2"/>
        <v>0</v>
      </c>
      <c r="F23" s="1813">
        <f t="shared" si="3"/>
        <v>0</v>
      </c>
      <c r="G23" s="1814">
        <f t="shared" si="4"/>
        <v>0</v>
      </c>
    </row>
    <row r="24" spans="1:8" hidden="1" x14ac:dyDescent="0.25">
      <c r="A24" s="1673"/>
      <c r="B24" s="1867"/>
      <c r="C24" s="1676"/>
      <c r="D24" s="1865"/>
      <c r="E24" s="1560">
        <f t="shared" si="2"/>
        <v>0</v>
      </c>
      <c r="F24" s="1813">
        <f t="shared" si="3"/>
        <v>0</v>
      </c>
      <c r="G24" s="1814">
        <f t="shared" si="4"/>
        <v>0</v>
      </c>
    </row>
    <row r="25" spans="1:8" hidden="1" x14ac:dyDescent="0.25">
      <c r="A25" s="1673"/>
      <c r="B25" s="1866"/>
      <c r="C25" s="1676"/>
      <c r="D25" s="1865"/>
      <c r="E25" s="1560">
        <f t="shared" si="2"/>
        <v>0</v>
      </c>
      <c r="F25" s="1813">
        <f t="shared" si="3"/>
        <v>0</v>
      </c>
      <c r="G25" s="1814">
        <f t="shared" si="4"/>
        <v>0</v>
      </c>
    </row>
    <row r="26" spans="1:8" hidden="1" x14ac:dyDescent="0.25">
      <c r="A26" s="1673"/>
      <c r="B26" s="1867"/>
      <c r="C26" s="1674"/>
      <c r="D26" s="1865"/>
      <c r="E26" s="1560">
        <f t="shared" si="2"/>
        <v>0</v>
      </c>
      <c r="F26" s="1813">
        <f t="shared" si="3"/>
        <v>0</v>
      </c>
      <c r="G26" s="1814">
        <f t="shared" si="4"/>
        <v>0</v>
      </c>
    </row>
    <row r="27" spans="1:8" hidden="1" x14ac:dyDescent="0.25">
      <c r="A27" s="1673"/>
      <c r="B27" s="1867"/>
      <c r="C27" s="1674"/>
      <c r="D27" s="1865"/>
      <c r="E27" s="1560">
        <f t="shared" si="2"/>
        <v>0</v>
      </c>
      <c r="F27" s="1813">
        <f t="shared" si="3"/>
        <v>0</v>
      </c>
      <c r="G27" s="1814">
        <f t="shared" si="4"/>
        <v>0</v>
      </c>
    </row>
    <row r="28" spans="1:8" hidden="1" x14ac:dyDescent="0.25">
      <c r="A28" s="1673"/>
      <c r="B28" s="1867"/>
      <c r="C28" s="1674"/>
      <c r="D28" s="1865"/>
      <c r="E28" s="1560">
        <f t="shared" si="2"/>
        <v>0</v>
      </c>
      <c r="F28" s="1813">
        <f t="shared" si="3"/>
        <v>0</v>
      </c>
      <c r="G28" s="1814">
        <f t="shared" si="4"/>
        <v>0</v>
      </c>
    </row>
    <row r="29" spans="1:8" hidden="1" x14ac:dyDescent="0.25">
      <c r="A29" s="1673"/>
      <c r="B29" s="1867"/>
      <c r="C29" s="1674"/>
      <c r="D29" s="1865"/>
      <c r="E29" s="1560">
        <f t="shared" si="2"/>
        <v>0</v>
      </c>
      <c r="F29" s="1813">
        <f t="shared" si="3"/>
        <v>0</v>
      </c>
      <c r="G29" s="1814">
        <f t="shared" si="4"/>
        <v>0</v>
      </c>
    </row>
    <row r="30" spans="1:8" hidden="1" x14ac:dyDescent="0.25">
      <c r="A30" s="1673"/>
      <c r="B30" s="1867"/>
      <c r="C30" s="1674"/>
      <c r="D30" s="1865"/>
      <c r="E30" s="1560">
        <f t="shared" si="2"/>
        <v>0</v>
      </c>
      <c r="F30" s="1813">
        <f t="shared" si="3"/>
        <v>0</v>
      </c>
      <c r="G30" s="1814">
        <f t="shared" si="4"/>
        <v>0</v>
      </c>
    </row>
    <row r="31" spans="1:8" hidden="1" x14ac:dyDescent="0.25">
      <c r="A31" s="1673"/>
      <c r="B31" s="1867"/>
      <c r="C31" s="1674"/>
      <c r="D31" s="1865"/>
      <c r="E31" s="1560">
        <f t="shared" si="2"/>
        <v>0</v>
      </c>
      <c r="F31" s="1813">
        <f t="shared" si="3"/>
        <v>0</v>
      </c>
      <c r="G31" s="1814">
        <f t="shared" si="4"/>
        <v>0</v>
      </c>
    </row>
    <row r="32" spans="1:8" hidden="1" x14ac:dyDescent="0.25">
      <c r="A32" s="1673"/>
      <c r="B32" s="1867"/>
      <c r="C32" s="1674"/>
      <c r="D32" s="1865"/>
      <c r="E32" s="1560">
        <f t="shared" si="2"/>
        <v>0</v>
      </c>
      <c r="F32" s="1813">
        <f t="shared" si="3"/>
        <v>0</v>
      </c>
      <c r="G32" s="1814">
        <f t="shared" si="4"/>
        <v>0</v>
      </c>
    </row>
    <row r="33" spans="1:7" hidden="1" x14ac:dyDescent="0.25">
      <c r="A33" s="1673"/>
      <c r="B33" s="1867"/>
      <c r="C33" s="1674"/>
      <c r="D33" s="1865"/>
      <c r="E33" s="1560">
        <f t="shared" si="2"/>
        <v>0</v>
      </c>
      <c r="F33" s="1813">
        <f t="shared" si="3"/>
        <v>0</v>
      </c>
      <c r="G33" s="1814">
        <f t="shared" si="4"/>
        <v>0</v>
      </c>
    </row>
    <row r="34" spans="1:7" hidden="1" x14ac:dyDescent="0.25">
      <c r="A34" s="1673"/>
      <c r="B34" s="1867"/>
      <c r="C34" s="1674"/>
      <c r="D34" s="1865"/>
      <c r="E34" s="1560">
        <f t="shared" si="2"/>
        <v>0</v>
      </c>
      <c r="F34" s="1813">
        <f t="shared" si="3"/>
        <v>0</v>
      </c>
      <c r="G34" s="1814">
        <f t="shared" si="4"/>
        <v>0</v>
      </c>
    </row>
    <row r="35" spans="1:7" hidden="1" x14ac:dyDescent="0.25">
      <c r="A35" s="1673"/>
      <c r="B35" s="1867"/>
      <c r="C35" s="1674"/>
      <c r="D35" s="1865"/>
      <c r="E35" s="1560">
        <f t="shared" si="2"/>
        <v>0</v>
      </c>
      <c r="F35" s="1813">
        <f t="shared" si="3"/>
        <v>0</v>
      </c>
      <c r="G35" s="1814">
        <f t="shared" si="4"/>
        <v>0</v>
      </c>
    </row>
    <row r="36" spans="1:7" hidden="1" x14ac:dyDescent="0.25">
      <c r="A36" s="1673"/>
      <c r="B36" s="1867"/>
      <c r="C36" s="1674"/>
      <c r="D36" s="1865"/>
      <c r="E36" s="1560">
        <f t="shared" si="2"/>
        <v>0</v>
      </c>
      <c r="F36" s="1813">
        <f t="shared" si="3"/>
        <v>0</v>
      </c>
      <c r="G36" s="1814">
        <f t="shared" si="4"/>
        <v>0</v>
      </c>
    </row>
    <row r="37" spans="1:7" hidden="1" x14ac:dyDescent="0.25">
      <c r="A37" s="1673"/>
      <c r="B37" s="1867"/>
      <c r="C37" s="1674"/>
      <c r="D37" s="1865"/>
      <c r="E37" s="1560">
        <f t="shared" si="2"/>
        <v>0</v>
      </c>
      <c r="F37" s="1813">
        <f t="shared" si="3"/>
        <v>0</v>
      </c>
      <c r="G37" s="1814">
        <f t="shared" si="4"/>
        <v>0</v>
      </c>
    </row>
    <row r="38" spans="1:7" hidden="1" x14ac:dyDescent="0.25">
      <c r="A38" s="1673"/>
      <c r="B38" s="1687"/>
      <c r="C38" s="1674"/>
      <c r="D38" s="1865"/>
      <c r="E38" s="1560">
        <f t="shared" si="2"/>
        <v>0</v>
      </c>
      <c r="F38" s="1813">
        <f t="shared" si="3"/>
        <v>0</v>
      </c>
      <c r="G38" s="1814">
        <f t="shared" si="4"/>
        <v>0</v>
      </c>
    </row>
    <row r="39" spans="1:7" hidden="1" x14ac:dyDescent="0.25">
      <c r="A39" s="1673"/>
      <c r="B39" s="1687"/>
      <c r="C39" s="1674"/>
      <c r="D39" s="1865"/>
      <c r="E39" s="1560">
        <f t="shared" si="2"/>
        <v>0</v>
      </c>
      <c r="F39" s="1813">
        <f t="shared" si="3"/>
        <v>0</v>
      </c>
      <c r="G39" s="1814">
        <f t="shared" si="4"/>
        <v>0</v>
      </c>
    </row>
    <row r="40" spans="1:7" hidden="1" x14ac:dyDescent="0.25">
      <c r="A40" s="1673"/>
      <c r="B40" s="1687"/>
      <c r="C40" s="1674"/>
      <c r="D40" s="1865"/>
      <c r="E40" s="1560">
        <f t="shared" si="2"/>
        <v>0</v>
      </c>
      <c r="F40" s="1813">
        <f t="shared" si="3"/>
        <v>0</v>
      </c>
      <c r="G40" s="1814">
        <f t="shared" si="4"/>
        <v>0</v>
      </c>
    </row>
    <row r="41" spans="1:7" hidden="1" x14ac:dyDescent="0.25">
      <c r="A41" s="1673"/>
      <c r="B41" s="1687"/>
      <c r="C41" s="1674"/>
      <c r="D41" s="1865"/>
      <c r="E41" s="1560">
        <f t="shared" si="2"/>
        <v>0</v>
      </c>
      <c r="F41" s="1813">
        <f t="shared" si="3"/>
        <v>0</v>
      </c>
      <c r="G41" s="1814">
        <f t="shared" si="4"/>
        <v>0</v>
      </c>
    </row>
    <row r="42" spans="1:7" hidden="1" x14ac:dyDescent="0.25">
      <c r="A42" s="1673"/>
      <c r="B42" s="1687"/>
      <c r="C42" s="1674"/>
      <c r="D42" s="1865"/>
      <c r="E42" s="1560">
        <f t="shared" si="2"/>
        <v>0</v>
      </c>
      <c r="F42" s="1813">
        <f t="shared" si="3"/>
        <v>0</v>
      </c>
      <c r="G42" s="1814">
        <f t="shared" si="4"/>
        <v>0</v>
      </c>
    </row>
    <row r="43" spans="1:7" hidden="1" x14ac:dyDescent="0.25">
      <c r="A43" s="1673"/>
      <c r="B43" s="1687"/>
      <c r="C43" s="1674"/>
      <c r="D43" s="1865"/>
      <c r="E43" s="1560">
        <f t="shared" si="2"/>
        <v>0</v>
      </c>
      <c r="F43" s="1813">
        <f t="shared" si="3"/>
        <v>0</v>
      </c>
      <c r="G43" s="1814">
        <f t="shared" si="4"/>
        <v>0</v>
      </c>
    </row>
    <row r="44" spans="1:7" hidden="1" x14ac:dyDescent="0.25">
      <c r="A44" s="1673"/>
      <c r="B44" s="1687"/>
      <c r="C44" s="1674"/>
      <c r="D44" s="1865"/>
      <c r="E44" s="1560">
        <f t="shared" si="2"/>
        <v>0</v>
      </c>
      <c r="F44" s="1813">
        <f t="shared" si="3"/>
        <v>0</v>
      </c>
      <c r="G44" s="1814">
        <f t="shared" si="4"/>
        <v>0</v>
      </c>
    </row>
    <row r="45" spans="1:7" hidden="1" x14ac:dyDescent="0.25">
      <c r="A45" s="1673"/>
      <c r="B45" s="1687"/>
      <c r="C45" s="1674"/>
      <c r="D45" s="1865"/>
      <c r="E45" s="1560">
        <f t="shared" si="2"/>
        <v>0</v>
      </c>
      <c r="F45" s="1813">
        <f t="shared" si="3"/>
        <v>0</v>
      </c>
      <c r="G45" s="1814">
        <f t="shared" si="4"/>
        <v>0</v>
      </c>
    </row>
    <row r="46" spans="1:7" hidden="1" x14ac:dyDescent="0.25">
      <c r="A46" s="1673"/>
      <c r="B46" s="1687"/>
      <c r="C46" s="1674"/>
      <c r="D46" s="1865"/>
      <c r="E46" s="1560">
        <f t="shared" si="2"/>
        <v>0</v>
      </c>
      <c r="F46" s="1813">
        <f t="shared" si="3"/>
        <v>0</v>
      </c>
      <c r="G46" s="1814">
        <f t="shared" si="4"/>
        <v>0</v>
      </c>
    </row>
    <row r="47" spans="1:7" hidden="1" x14ac:dyDescent="0.25">
      <c r="A47" s="1673"/>
      <c r="B47" s="1687"/>
      <c r="C47" s="1674"/>
      <c r="D47" s="1865"/>
      <c r="E47" s="1560">
        <f t="shared" si="2"/>
        <v>0</v>
      </c>
      <c r="F47" s="1813">
        <f t="shared" si="3"/>
        <v>0</v>
      </c>
      <c r="G47" s="1814">
        <f t="shared" si="4"/>
        <v>0</v>
      </c>
    </row>
    <row r="48" spans="1:7" hidden="1" x14ac:dyDescent="0.25">
      <c r="A48" s="1673"/>
      <c r="B48" s="1687"/>
      <c r="C48" s="1674"/>
      <c r="D48" s="1865"/>
      <c r="E48" s="1560">
        <f t="shared" si="2"/>
        <v>0</v>
      </c>
      <c r="F48" s="1813">
        <f t="shared" si="3"/>
        <v>0</v>
      </c>
      <c r="G48" s="1814">
        <f t="shared" si="4"/>
        <v>0</v>
      </c>
    </row>
    <row r="49" spans="1:7" hidden="1" x14ac:dyDescent="0.25">
      <c r="A49" s="1673"/>
      <c r="B49" s="1687"/>
      <c r="C49" s="1674"/>
      <c r="D49" s="1865"/>
      <c r="E49" s="1560">
        <f t="shared" si="2"/>
        <v>0</v>
      </c>
      <c r="F49" s="1813">
        <f t="shared" si="3"/>
        <v>0</v>
      </c>
      <c r="G49" s="1814">
        <f t="shared" si="4"/>
        <v>0</v>
      </c>
    </row>
    <row r="50" spans="1:7" hidden="1" x14ac:dyDescent="0.25">
      <c r="A50" s="1673"/>
      <c r="B50" s="1687"/>
      <c r="C50" s="1674"/>
      <c r="D50" s="1865"/>
      <c r="E50" s="1560">
        <f t="shared" si="2"/>
        <v>0</v>
      </c>
      <c r="F50" s="1813">
        <f t="shared" si="3"/>
        <v>0</v>
      </c>
      <c r="G50" s="1814">
        <f t="shared" si="4"/>
        <v>0</v>
      </c>
    </row>
    <row r="51" spans="1:7" hidden="1" x14ac:dyDescent="0.25">
      <c r="A51" s="1673"/>
      <c r="B51" s="1687"/>
      <c r="C51" s="1674"/>
      <c r="D51" s="1865"/>
      <c r="E51" s="1560">
        <f t="shared" si="2"/>
        <v>0</v>
      </c>
      <c r="F51" s="1813">
        <f t="shared" si="3"/>
        <v>0</v>
      </c>
      <c r="G51" s="1814">
        <f t="shared" si="4"/>
        <v>0</v>
      </c>
    </row>
    <row r="52" spans="1:7" hidden="1" x14ac:dyDescent="0.25">
      <c r="A52" s="1673"/>
      <c r="B52" s="1687"/>
      <c r="C52" s="1674"/>
      <c r="D52" s="1865"/>
      <c r="E52" s="1560">
        <f t="shared" si="2"/>
        <v>0</v>
      </c>
      <c r="F52" s="1813">
        <f t="shared" si="3"/>
        <v>0</v>
      </c>
      <c r="G52" s="1814">
        <f t="shared" si="4"/>
        <v>0</v>
      </c>
    </row>
    <row r="53" spans="1:7" hidden="1" x14ac:dyDescent="0.25">
      <c r="A53" s="1673"/>
      <c r="B53" s="1687"/>
      <c r="C53" s="1674"/>
      <c r="D53" s="1865"/>
      <c r="E53" s="1560">
        <f t="shared" si="2"/>
        <v>0</v>
      </c>
      <c r="F53" s="1813">
        <f t="shared" si="3"/>
        <v>0</v>
      </c>
      <c r="G53" s="1814">
        <f t="shared" si="4"/>
        <v>0</v>
      </c>
    </row>
    <row r="54" spans="1:7" hidden="1" x14ac:dyDescent="0.25">
      <c r="A54" s="1673"/>
      <c r="B54" s="1687"/>
      <c r="C54" s="1674"/>
      <c r="D54" s="1865"/>
      <c r="E54" s="1560">
        <f t="shared" si="2"/>
        <v>0</v>
      </c>
      <c r="F54" s="1813">
        <f t="shared" si="3"/>
        <v>0</v>
      </c>
      <c r="G54" s="1814">
        <f t="shared" si="4"/>
        <v>0</v>
      </c>
    </row>
    <row r="55" spans="1:7" hidden="1" x14ac:dyDescent="0.25">
      <c r="A55" s="1673"/>
      <c r="B55" s="1687"/>
      <c r="C55" s="1674"/>
      <c r="D55" s="1865"/>
      <c r="E55" s="1560">
        <f t="shared" si="2"/>
        <v>0</v>
      </c>
      <c r="F55" s="1813">
        <f t="shared" si="3"/>
        <v>0</v>
      </c>
      <c r="G55" s="1814">
        <f t="shared" si="4"/>
        <v>0</v>
      </c>
    </row>
    <row r="56" spans="1:7" hidden="1" x14ac:dyDescent="0.25">
      <c r="A56" s="1673"/>
      <c r="B56" s="1687"/>
      <c r="C56" s="1674"/>
      <c r="D56" s="1865"/>
      <c r="E56" s="1560">
        <f t="shared" si="2"/>
        <v>0</v>
      </c>
      <c r="F56" s="1813">
        <f t="shared" si="3"/>
        <v>0</v>
      </c>
      <c r="G56" s="1814">
        <f t="shared" si="4"/>
        <v>0</v>
      </c>
    </row>
    <row r="57" spans="1:7" hidden="1" x14ac:dyDescent="0.25">
      <c r="A57" s="1673"/>
      <c r="B57" s="1687"/>
      <c r="C57" s="1674"/>
      <c r="D57" s="1865"/>
      <c r="E57" s="1560">
        <f t="shared" si="2"/>
        <v>0</v>
      </c>
      <c r="F57" s="1813">
        <f t="shared" si="3"/>
        <v>0</v>
      </c>
      <c r="G57" s="1814">
        <f t="shared" si="4"/>
        <v>0</v>
      </c>
    </row>
    <row r="58" spans="1:7" hidden="1" x14ac:dyDescent="0.25">
      <c r="A58" s="1673"/>
      <c r="B58" s="1687"/>
      <c r="C58" s="1674"/>
      <c r="D58" s="1865"/>
      <c r="E58" s="1560">
        <f t="shared" si="2"/>
        <v>0</v>
      </c>
      <c r="F58" s="1813">
        <f t="shared" si="3"/>
        <v>0</v>
      </c>
      <c r="G58" s="1814">
        <f t="shared" si="4"/>
        <v>0</v>
      </c>
    </row>
    <row r="59" spans="1:7" hidden="1" x14ac:dyDescent="0.25">
      <c r="A59" s="1673"/>
      <c r="B59" s="1687"/>
      <c r="C59" s="1674"/>
      <c r="D59" s="1865"/>
      <c r="E59" s="1560">
        <f t="shared" si="2"/>
        <v>0</v>
      </c>
      <c r="F59" s="1813">
        <f t="shared" si="3"/>
        <v>0</v>
      </c>
      <c r="G59" s="1814">
        <f t="shared" si="4"/>
        <v>0</v>
      </c>
    </row>
    <row r="60" spans="1:7" hidden="1" x14ac:dyDescent="0.25">
      <c r="A60" s="1673"/>
      <c r="B60" s="1687"/>
      <c r="C60" s="1674"/>
      <c r="D60" s="1865"/>
      <c r="E60" s="1560">
        <f t="shared" si="2"/>
        <v>0</v>
      </c>
      <c r="F60" s="1813">
        <f t="shared" si="3"/>
        <v>0</v>
      </c>
      <c r="G60" s="1814">
        <f t="shared" si="4"/>
        <v>0</v>
      </c>
    </row>
    <row r="61" spans="1:7" hidden="1" x14ac:dyDescent="0.25">
      <c r="A61" s="1673"/>
      <c r="B61" s="1687"/>
      <c r="C61" s="1674"/>
      <c r="D61" s="1865"/>
      <c r="E61" s="1560">
        <f t="shared" si="2"/>
        <v>0</v>
      </c>
      <c r="F61" s="1813">
        <f t="shared" si="3"/>
        <v>0</v>
      </c>
      <c r="G61" s="1814">
        <f t="shared" si="4"/>
        <v>0</v>
      </c>
    </row>
    <row r="62" spans="1:7" hidden="1" x14ac:dyDescent="0.25">
      <c r="A62" s="1673"/>
      <c r="B62" s="1687"/>
      <c r="C62" s="1674"/>
      <c r="D62" s="1865"/>
      <c r="E62" s="1560">
        <f t="shared" si="2"/>
        <v>0</v>
      </c>
      <c r="F62" s="1813">
        <f t="shared" si="3"/>
        <v>0</v>
      </c>
      <c r="G62" s="1814">
        <f t="shared" si="4"/>
        <v>0</v>
      </c>
    </row>
    <row r="63" spans="1:7" hidden="1" x14ac:dyDescent="0.25">
      <c r="A63" s="1673"/>
      <c r="B63" s="1687"/>
      <c r="C63" s="1674"/>
      <c r="D63" s="1865"/>
      <c r="E63" s="1560">
        <f t="shared" si="2"/>
        <v>0</v>
      </c>
      <c r="F63" s="1813">
        <f t="shared" si="3"/>
        <v>0</v>
      </c>
      <c r="G63" s="1814">
        <f t="shared" si="4"/>
        <v>0</v>
      </c>
    </row>
    <row r="64" spans="1:7" hidden="1" x14ac:dyDescent="0.25">
      <c r="A64" s="1675"/>
      <c r="B64" s="1687"/>
      <c r="C64" s="1676"/>
      <c r="D64" s="1865"/>
      <c r="E64" s="1560">
        <f t="shared" si="2"/>
        <v>0</v>
      </c>
      <c r="F64" s="1813">
        <f t="shared" si="3"/>
        <v>0</v>
      </c>
      <c r="G64" s="1814">
        <f t="shared" si="4"/>
        <v>0</v>
      </c>
    </row>
    <row r="65" spans="1:7" hidden="1" x14ac:dyDescent="0.25">
      <c r="A65" s="1673"/>
      <c r="B65" s="1687"/>
      <c r="C65" s="1674"/>
      <c r="D65" s="1865"/>
      <c r="E65" s="1560">
        <f t="shared" si="2"/>
        <v>0</v>
      </c>
      <c r="F65" s="1813">
        <f t="shared" si="3"/>
        <v>0</v>
      </c>
      <c r="G65" s="1814">
        <f t="shared" si="4"/>
        <v>0</v>
      </c>
    </row>
    <row r="66" spans="1:7" hidden="1" x14ac:dyDescent="0.25">
      <c r="A66" s="1673"/>
      <c r="B66" s="1687"/>
      <c r="C66" s="1674"/>
      <c r="D66" s="1865"/>
      <c r="E66" s="1560">
        <f t="shared" si="2"/>
        <v>0</v>
      </c>
      <c r="F66" s="1813">
        <f t="shared" si="3"/>
        <v>0</v>
      </c>
      <c r="G66" s="1814">
        <f t="shared" si="4"/>
        <v>0</v>
      </c>
    </row>
    <row r="67" spans="1:7" hidden="1" x14ac:dyDescent="0.25">
      <c r="A67" s="1673"/>
      <c r="B67" s="1687"/>
      <c r="C67" s="1674"/>
      <c r="D67" s="1865"/>
      <c r="E67" s="1560">
        <f t="shared" si="2"/>
        <v>0</v>
      </c>
      <c r="F67" s="1813">
        <f t="shared" si="3"/>
        <v>0</v>
      </c>
      <c r="G67" s="1814">
        <f t="shared" si="4"/>
        <v>0</v>
      </c>
    </row>
    <row r="68" spans="1:7" hidden="1" x14ac:dyDescent="0.25">
      <c r="A68" s="1673"/>
      <c r="B68" s="1687"/>
      <c r="C68" s="1674"/>
      <c r="D68" s="1865"/>
      <c r="E68" s="1560">
        <f t="shared" si="2"/>
        <v>0</v>
      </c>
      <c r="F68" s="1813">
        <f t="shared" si="3"/>
        <v>0</v>
      </c>
      <c r="G68" s="1814">
        <f t="shared" si="4"/>
        <v>0</v>
      </c>
    </row>
    <row r="69" spans="1:7" hidden="1" x14ac:dyDescent="0.25">
      <c r="A69" s="1673"/>
      <c r="B69" s="1687"/>
      <c r="C69" s="1674"/>
      <c r="D69" s="1865"/>
      <c r="E69" s="1560">
        <f t="shared" si="2"/>
        <v>0</v>
      </c>
      <c r="F69" s="1813">
        <f t="shared" si="3"/>
        <v>0</v>
      </c>
      <c r="G69" s="1814">
        <f t="shared" si="4"/>
        <v>0</v>
      </c>
    </row>
    <row r="70" spans="1:7" hidden="1" x14ac:dyDescent="0.25">
      <c r="A70" s="1673"/>
      <c r="B70" s="1687"/>
      <c r="C70" s="1674"/>
      <c r="D70" s="1865"/>
      <c r="E70" s="1560">
        <f t="shared" si="2"/>
        <v>0</v>
      </c>
      <c r="F70" s="1813">
        <f t="shared" si="3"/>
        <v>0</v>
      </c>
      <c r="G70" s="1814">
        <f t="shared" si="4"/>
        <v>0</v>
      </c>
    </row>
    <row r="71" spans="1:7" hidden="1" x14ac:dyDescent="0.25">
      <c r="A71" s="1673"/>
      <c r="B71" s="1687"/>
      <c r="C71" s="1674"/>
      <c r="D71" s="1865"/>
      <c r="E71" s="1560">
        <f t="shared" si="2"/>
        <v>0</v>
      </c>
      <c r="F71" s="1813">
        <f t="shared" si="3"/>
        <v>0</v>
      </c>
      <c r="G71" s="1814">
        <f t="shared" si="4"/>
        <v>0</v>
      </c>
    </row>
    <row r="72" spans="1:7" hidden="1" x14ac:dyDescent="0.25">
      <c r="A72" s="1673"/>
      <c r="B72" s="1687"/>
      <c r="C72" s="1674"/>
      <c r="D72" s="1865"/>
      <c r="E72" s="1560">
        <f t="shared" si="2"/>
        <v>0</v>
      </c>
      <c r="F72" s="1813">
        <f t="shared" si="3"/>
        <v>0</v>
      </c>
      <c r="G72" s="1814">
        <f t="shared" si="4"/>
        <v>0</v>
      </c>
    </row>
    <row r="73" spans="1:7" hidden="1" x14ac:dyDescent="0.25">
      <c r="A73" s="1673"/>
      <c r="B73" s="1687"/>
      <c r="C73" s="1674"/>
      <c r="D73" s="1865"/>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hidden="1" x14ac:dyDescent="0.25">
      <c r="A74" s="1673"/>
      <c r="B74" s="1687"/>
      <c r="C74" s="1674"/>
      <c r="D74" s="1865"/>
      <c r="E74" s="1560">
        <f t="shared" si="5"/>
        <v>0</v>
      </c>
      <c r="F74" s="1813">
        <f t="shared" si="6"/>
        <v>0</v>
      </c>
      <c r="G74" s="1814">
        <f t="shared" si="7"/>
        <v>0</v>
      </c>
    </row>
    <row r="75" spans="1:7" hidden="1" x14ac:dyDescent="0.25">
      <c r="A75" s="1673"/>
      <c r="B75" s="1687"/>
      <c r="C75" s="1674"/>
      <c r="D75" s="1865"/>
      <c r="E75" s="1560">
        <f t="shared" si="5"/>
        <v>0</v>
      </c>
      <c r="F75" s="1813">
        <f t="shared" si="6"/>
        <v>0</v>
      </c>
      <c r="G75" s="1814">
        <f t="shared" si="7"/>
        <v>0</v>
      </c>
    </row>
    <row r="76" spans="1:7" hidden="1" x14ac:dyDescent="0.25">
      <c r="A76" s="1673"/>
      <c r="B76" s="1687"/>
      <c r="C76" s="1674"/>
      <c r="D76" s="1865"/>
      <c r="E76" s="1560">
        <f t="shared" si="5"/>
        <v>0</v>
      </c>
      <c r="F76" s="1813">
        <f t="shared" si="6"/>
        <v>0</v>
      </c>
      <c r="G76" s="1814">
        <f t="shared" si="7"/>
        <v>0</v>
      </c>
    </row>
    <row r="77" spans="1:7" hidden="1" x14ac:dyDescent="0.25">
      <c r="A77" s="1673"/>
      <c r="B77" s="1687"/>
      <c r="C77" s="1674"/>
      <c r="D77" s="1865"/>
      <c r="E77" s="1560">
        <f t="shared" si="5"/>
        <v>0</v>
      </c>
      <c r="F77" s="1813">
        <f t="shared" si="6"/>
        <v>0</v>
      </c>
      <c r="G77" s="1814">
        <f t="shared" si="7"/>
        <v>0</v>
      </c>
    </row>
    <row r="78" spans="1:7" hidden="1" x14ac:dyDescent="0.25">
      <c r="A78" s="1673"/>
      <c r="B78" s="1687"/>
      <c r="C78" s="1674"/>
      <c r="D78" s="1865"/>
      <c r="E78" s="1560">
        <f t="shared" si="5"/>
        <v>0</v>
      </c>
      <c r="F78" s="1813">
        <f t="shared" si="6"/>
        <v>0</v>
      </c>
      <c r="G78" s="1814">
        <f t="shared" si="7"/>
        <v>0</v>
      </c>
    </row>
    <row r="79" spans="1:7" hidden="1" x14ac:dyDescent="0.25">
      <c r="A79" s="1673"/>
      <c r="B79" s="1687"/>
      <c r="C79" s="1674"/>
      <c r="D79" s="1865"/>
      <c r="E79" s="1560">
        <f t="shared" si="5"/>
        <v>0</v>
      </c>
      <c r="F79" s="1813">
        <f t="shared" si="6"/>
        <v>0</v>
      </c>
      <c r="G79" s="1814">
        <f t="shared" si="7"/>
        <v>0</v>
      </c>
    </row>
    <row r="80" spans="1:7" hidden="1" x14ac:dyDescent="0.25">
      <c r="A80" s="1673"/>
      <c r="B80" s="1687"/>
      <c r="C80" s="1674"/>
      <c r="D80" s="1865"/>
      <c r="E80" s="1560">
        <f t="shared" si="5"/>
        <v>0</v>
      </c>
      <c r="F80" s="1813">
        <f t="shared" si="6"/>
        <v>0</v>
      </c>
      <c r="G80" s="1814">
        <f t="shared" si="7"/>
        <v>0</v>
      </c>
    </row>
    <row r="81" spans="1:7" hidden="1" x14ac:dyDescent="0.25">
      <c r="A81" s="1673"/>
      <c r="B81" s="1687"/>
      <c r="C81" s="1674"/>
      <c r="D81" s="1865"/>
      <c r="E81" s="1560">
        <f t="shared" si="5"/>
        <v>0</v>
      </c>
      <c r="F81" s="1813">
        <f t="shared" si="6"/>
        <v>0</v>
      </c>
      <c r="G81" s="1814">
        <f t="shared" si="7"/>
        <v>0</v>
      </c>
    </row>
    <row r="82" spans="1:7" hidden="1" x14ac:dyDescent="0.25">
      <c r="A82" s="1673"/>
      <c r="B82" s="1687"/>
      <c r="C82" s="1674"/>
      <c r="D82" s="1865"/>
      <c r="E82" s="1560">
        <f t="shared" si="5"/>
        <v>0</v>
      </c>
      <c r="F82" s="1813">
        <f t="shared" si="6"/>
        <v>0</v>
      </c>
      <c r="G82" s="1814">
        <f t="shared" si="7"/>
        <v>0</v>
      </c>
    </row>
    <row r="83" spans="1:7" hidden="1" x14ac:dyDescent="0.25">
      <c r="A83" s="1673"/>
      <c r="B83" s="1687"/>
      <c r="C83" s="1674"/>
      <c r="D83" s="1865"/>
      <c r="E83" s="1560">
        <f t="shared" si="5"/>
        <v>0</v>
      </c>
      <c r="F83" s="1813">
        <f t="shared" si="6"/>
        <v>0</v>
      </c>
      <c r="G83" s="1814">
        <f t="shared" si="7"/>
        <v>0</v>
      </c>
    </row>
    <row r="84" spans="1:7" hidden="1" x14ac:dyDescent="0.25">
      <c r="A84" s="1673"/>
      <c r="B84" s="1687"/>
      <c r="C84" s="1674"/>
      <c r="D84" s="1865"/>
      <c r="E84" s="1560">
        <f t="shared" si="5"/>
        <v>0</v>
      </c>
      <c r="F84" s="1813">
        <f t="shared" si="6"/>
        <v>0</v>
      </c>
      <c r="G84" s="1814">
        <f t="shared" si="7"/>
        <v>0</v>
      </c>
    </row>
    <row r="85" spans="1:7" hidden="1" x14ac:dyDescent="0.25">
      <c r="A85" s="1673"/>
      <c r="B85" s="1687"/>
      <c r="C85" s="1674"/>
      <c r="D85" s="1865"/>
      <c r="E85" s="1560">
        <f t="shared" si="2"/>
        <v>0</v>
      </c>
      <c r="F85" s="1813">
        <f t="shared" si="3"/>
        <v>0</v>
      </c>
      <c r="G85" s="1814">
        <f t="shared" si="4"/>
        <v>0</v>
      </c>
    </row>
    <row r="86" spans="1:7" hidden="1" x14ac:dyDescent="0.25">
      <c r="A86" s="1673"/>
      <c r="B86" s="1687"/>
      <c r="C86" s="1674"/>
      <c r="D86" s="1865"/>
      <c r="E86" s="1560">
        <f t="shared" si="2"/>
        <v>0</v>
      </c>
      <c r="F86" s="1813">
        <f t="shared" si="3"/>
        <v>0</v>
      </c>
      <c r="G86" s="1814">
        <f t="shared" si="4"/>
        <v>0</v>
      </c>
    </row>
    <row r="87" spans="1:7" hidden="1" x14ac:dyDescent="0.25">
      <c r="A87" s="1673"/>
      <c r="B87" s="1687"/>
      <c r="C87" s="1674"/>
      <c r="D87" s="1865"/>
      <c r="E87" s="1560">
        <f t="shared" si="2"/>
        <v>0</v>
      </c>
      <c r="F87" s="1813">
        <f t="shared" si="3"/>
        <v>0</v>
      </c>
      <c r="G87" s="1814">
        <f t="shared" si="4"/>
        <v>0</v>
      </c>
    </row>
    <row r="88" spans="1:7" hidden="1" x14ac:dyDescent="0.25">
      <c r="A88" s="1673"/>
      <c r="B88" s="1687"/>
      <c r="C88" s="1674"/>
      <c r="D88" s="1865"/>
      <c r="E88" s="1560">
        <f t="shared" si="2"/>
        <v>0</v>
      </c>
      <c r="F88" s="1813">
        <f t="shared" si="3"/>
        <v>0</v>
      </c>
      <c r="G88" s="1814">
        <f t="shared" si="4"/>
        <v>0</v>
      </c>
    </row>
    <row r="89" spans="1:7" hidden="1" x14ac:dyDescent="0.25">
      <c r="A89" s="1673"/>
      <c r="B89" s="1687"/>
      <c r="C89" s="1674"/>
      <c r="D89" s="1865"/>
      <c r="E89" s="1560">
        <f t="shared" si="2"/>
        <v>0</v>
      </c>
      <c r="F89" s="1813">
        <f t="shared" si="3"/>
        <v>0</v>
      </c>
      <c r="G89" s="1814">
        <f t="shared" si="4"/>
        <v>0</v>
      </c>
    </row>
    <row r="90" spans="1:7" hidden="1" x14ac:dyDescent="0.25">
      <c r="A90" s="1673"/>
      <c r="B90" s="1687"/>
      <c r="C90" s="1674"/>
      <c r="D90" s="1865"/>
      <c r="E90" s="1560">
        <f t="shared" si="2"/>
        <v>0</v>
      </c>
      <c r="F90" s="1813">
        <f t="shared" si="3"/>
        <v>0</v>
      </c>
      <c r="G90" s="1814">
        <f t="shared" si="4"/>
        <v>0</v>
      </c>
    </row>
    <row r="91" spans="1:7" hidden="1" x14ac:dyDescent="0.25">
      <c r="A91" s="1673"/>
      <c r="B91" s="1687"/>
      <c r="C91" s="1674"/>
      <c r="D91" s="1865"/>
      <c r="E91" s="1560">
        <f t="shared" si="2"/>
        <v>0</v>
      </c>
      <c r="F91" s="1813">
        <f t="shared" si="3"/>
        <v>0</v>
      </c>
      <c r="G91" s="1814">
        <f t="shared" si="4"/>
        <v>0</v>
      </c>
    </row>
    <row r="92" spans="1:7" hidden="1" x14ac:dyDescent="0.25">
      <c r="A92" s="1673"/>
      <c r="B92" s="1687"/>
      <c r="C92" s="1674"/>
      <c r="D92" s="1865"/>
      <c r="E92" s="1560">
        <f t="shared" si="2"/>
        <v>0</v>
      </c>
      <c r="F92" s="1813">
        <f t="shared" si="3"/>
        <v>0</v>
      </c>
      <c r="G92" s="1814">
        <f t="shared" si="4"/>
        <v>0</v>
      </c>
    </row>
    <row r="93" spans="1:7" hidden="1" x14ac:dyDescent="0.25">
      <c r="A93" s="1673"/>
      <c r="B93" s="1687"/>
      <c r="C93" s="1674"/>
      <c r="D93" s="1865"/>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hidden="1" x14ac:dyDescent="0.25">
      <c r="A94" s="1673"/>
      <c r="B94" s="1687"/>
      <c r="C94" s="1674"/>
      <c r="D94" s="1865"/>
      <c r="E94" s="1560">
        <f t="shared" si="2"/>
        <v>0</v>
      </c>
      <c r="F94" s="1813">
        <f t="shared" si="3"/>
        <v>0</v>
      </c>
      <c r="G94" s="1814">
        <f t="shared" si="4"/>
        <v>0</v>
      </c>
    </row>
    <row r="95" spans="1:7" hidden="1" x14ac:dyDescent="0.25">
      <c r="A95" s="1673"/>
      <c r="B95" s="1687"/>
      <c r="C95" s="1674"/>
      <c r="D95" s="1865"/>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hidden="1" x14ac:dyDescent="0.25">
      <c r="A96" s="1673"/>
      <c r="B96" s="1687"/>
      <c r="C96" s="1674"/>
      <c r="D96" s="1865"/>
      <c r="E96" s="1560">
        <f t="shared" si="11"/>
        <v>0</v>
      </c>
      <c r="F96" s="1813">
        <f t="shared" si="12"/>
        <v>0</v>
      </c>
      <c r="G96" s="1814">
        <f t="shared" si="13"/>
        <v>0</v>
      </c>
    </row>
    <row r="97" spans="1:7" hidden="1" x14ac:dyDescent="0.25">
      <c r="A97" s="1673"/>
      <c r="B97" s="1687"/>
      <c r="C97" s="1674"/>
      <c r="D97" s="1865"/>
      <c r="E97" s="1560">
        <f t="shared" si="11"/>
        <v>0</v>
      </c>
      <c r="F97" s="1813">
        <f t="shared" si="12"/>
        <v>0</v>
      </c>
      <c r="G97" s="1814">
        <f t="shared" si="13"/>
        <v>0</v>
      </c>
    </row>
    <row r="98" spans="1:7" hidden="1" x14ac:dyDescent="0.25">
      <c r="A98" s="1673"/>
      <c r="B98" s="1687"/>
      <c r="C98" s="1674"/>
      <c r="D98" s="1865"/>
      <c r="E98" s="1560">
        <f t="shared" si="11"/>
        <v>0</v>
      </c>
      <c r="F98" s="1813">
        <f t="shared" si="12"/>
        <v>0</v>
      </c>
      <c r="G98" s="1814">
        <f t="shared" si="13"/>
        <v>0</v>
      </c>
    </row>
    <row r="99" spans="1:7" hidden="1" x14ac:dyDescent="0.25">
      <c r="A99" s="1673"/>
      <c r="B99" s="1687"/>
      <c r="C99" s="1674"/>
      <c r="D99" s="1865"/>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hidden="1" x14ac:dyDescent="0.25">
      <c r="A100" s="1673"/>
      <c r="B100" s="1687"/>
      <c r="C100" s="1674"/>
      <c r="D100" s="1865"/>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hidden="1" x14ac:dyDescent="0.25">
      <c r="A101" s="1673"/>
      <c r="B101" s="1687"/>
      <c r="C101" s="1674"/>
      <c r="D101" s="1865"/>
      <c r="E101" s="1560">
        <f t="shared" si="17"/>
        <v>0</v>
      </c>
      <c r="F101" s="1813">
        <f t="shared" si="18"/>
        <v>0</v>
      </c>
      <c r="G101" s="1814">
        <f t="shared" si="19"/>
        <v>0</v>
      </c>
    </row>
    <row r="102" spans="1:7" hidden="1" x14ac:dyDescent="0.25">
      <c r="A102" s="1673"/>
      <c r="B102" s="1687"/>
      <c r="C102" s="1674"/>
      <c r="D102" s="1865"/>
      <c r="E102" s="1560">
        <f t="shared" si="17"/>
        <v>0</v>
      </c>
      <c r="F102" s="1813">
        <f t="shared" si="18"/>
        <v>0</v>
      </c>
      <c r="G102" s="1814">
        <f t="shared" si="19"/>
        <v>0</v>
      </c>
    </row>
    <row r="103" spans="1:7" hidden="1" x14ac:dyDescent="0.25">
      <c r="A103" s="1673"/>
      <c r="B103" s="1687"/>
      <c r="C103" s="1674"/>
      <c r="D103" s="1865"/>
      <c r="E103" s="1560">
        <f t="shared" si="17"/>
        <v>0</v>
      </c>
      <c r="F103" s="1813">
        <f t="shared" si="18"/>
        <v>0</v>
      </c>
      <c r="G103" s="1814">
        <f t="shared" si="19"/>
        <v>0</v>
      </c>
    </row>
    <row r="104" spans="1:7" hidden="1" x14ac:dyDescent="0.25">
      <c r="A104" s="1673"/>
      <c r="B104" s="1687"/>
      <c r="C104" s="1674"/>
      <c r="D104" s="1865"/>
      <c r="E104" s="1560">
        <f t="shared" si="17"/>
        <v>0</v>
      </c>
      <c r="F104" s="1813">
        <f t="shared" si="18"/>
        <v>0</v>
      </c>
      <c r="G104" s="1814">
        <f t="shared" si="19"/>
        <v>0</v>
      </c>
    </row>
    <row r="105" spans="1:7" hidden="1" x14ac:dyDescent="0.25">
      <c r="A105" s="1673"/>
      <c r="B105" s="1687"/>
      <c r="C105" s="1674"/>
      <c r="D105" s="1865"/>
      <c r="E105" s="1560">
        <f t="shared" si="17"/>
        <v>0</v>
      </c>
      <c r="F105" s="1813">
        <f t="shared" si="18"/>
        <v>0</v>
      </c>
      <c r="G105" s="1814">
        <f t="shared" si="19"/>
        <v>0</v>
      </c>
    </row>
    <row r="106" spans="1:7" hidden="1" x14ac:dyDescent="0.25">
      <c r="A106" s="1673"/>
      <c r="B106" s="1687"/>
      <c r="C106" s="1674"/>
      <c r="D106" s="1865"/>
      <c r="E106" s="1560">
        <f t="shared" si="17"/>
        <v>0</v>
      </c>
      <c r="F106" s="1813">
        <f t="shared" si="18"/>
        <v>0</v>
      </c>
      <c r="G106" s="1814">
        <f t="shared" si="19"/>
        <v>0</v>
      </c>
    </row>
    <row r="107" spans="1:7" hidden="1" x14ac:dyDescent="0.25">
      <c r="A107" s="1673"/>
      <c r="B107" s="1687"/>
      <c r="C107" s="1674"/>
      <c r="D107" s="1865"/>
      <c r="E107" s="1560">
        <f t="shared" si="17"/>
        <v>0</v>
      </c>
      <c r="F107" s="1813">
        <f t="shared" si="18"/>
        <v>0</v>
      </c>
      <c r="G107" s="1814">
        <f t="shared" si="19"/>
        <v>0</v>
      </c>
    </row>
    <row r="108" spans="1:7" hidden="1" x14ac:dyDescent="0.25">
      <c r="A108" s="1673"/>
      <c r="B108" s="1687"/>
      <c r="C108" s="1674"/>
      <c r="D108" s="1865"/>
      <c r="E108" s="1560">
        <f t="shared" si="17"/>
        <v>0</v>
      </c>
      <c r="F108" s="1813">
        <f t="shared" si="18"/>
        <v>0</v>
      </c>
      <c r="G108" s="1814">
        <f t="shared" si="19"/>
        <v>0</v>
      </c>
    </row>
    <row r="109" spans="1:7" hidden="1" x14ac:dyDescent="0.25">
      <c r="A109" s="1673"/>
      <c r="B109" s="1687"/>
      <c r="C109" s="1674"/>
      <c r="D109" s="1865"/>
      <c r="E109" s="1560">
        <f t="shared" si="17"/>
        <v>0</v>
      </c>
      <c r="F109" s="1813">
        <f t="shared" si="18"/>
        <v>0</v>
      </c>
      <c r="G109" s="1814">
        <f t="shared" si="19"/>
        <v>0</v>
      </c>
    </row>
    <row r="110" spans="1:7" hidden="1" x14ac:dyDescent="0.25">
      <c r="A110" s="1673"/>
      <c r="B110" s="1687"/>
      <c r="C110" s="1674"/>
      <c r="D110" s="1865"/>
      <c r="E110" s="1560">
        <f t="shared" si="17"/>
        <v>0</v>
      </c>
      <c r="F110" s="1813">
        <f t="shared" si="18"/>
        <v>0</v>
      </c>
      <c r="G110" s="1814">
        <f t="shared" si="19"/>
        <v>0</v>
      </c>
    </row>
    <row r="111" spans="1:7" hidden="1" x14ac:dyDescent="0.25">
      <c r="A111" s="1673"/>
      <c r="B111" s="1687"/>
      <c r="C111" s="1674"/>
      <c r="D111" s="1865"/>
      <c r="E111" s="1560">
        <f t="shared" si="17"/>
        <v>0</v>
      </c>
      <c r="F111" s="1813">
        <f t="shared" si="18"/>
        <v>0</v>
      </c>
      <c r="G111" s="1814">
        <f t="shared" si="19"/>
        <v>0</v>
      </c>
    </row>
    <row r="112" spans="1:7" hidden="1" x14ac:dyDescent="0.25">
      <c r="A112" s="1673"/>
      <c r="B112" s="1687"/>
      <c r="C112" s="1674"/>
      <c r="D112" s="1865"/>
      <c r="E112" s="1560">
        <f t="shared" si="17"/>
        <v>0</v>
      </c>
      <c r="F112" s="1813">
        <f t="shared" si="18"/>
        <v>0</v>
      </c>
      <c r="G112" s="1814">
        <f t="shared" si="19"/>
        <v>0</v>
      </c>
    </row>
    <row r="113" spans="1:7" hidden="1" x14ac:dyDescent="0.25">
      <c r="A113" s="1673"/>
      <c r="B113" s="1687"/>
      <c r="C113" s="1674"/>
      <c r="D113" s="1865"/>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hidden="1" x14ac:dyDescent="0.25">
      <c r="A114" s="1673"/>
      <c r="B114" s="1687"/>
      <c r="C114" s="1674"/>
      <c r="D114" s="1865"/>
      <c r="E114" s="1560">
        <f t="shared" si="20"/>
        <v>0</v>
      </c>
      <c r="F114" s="1813">
        <f t="shared" si="21"/>
        <v>0</v>
      </c>
      <c r="G114" s="1814">
        <f t="shared" si="22"/>
        <v>0</v>
      </c>
    </row>
    <row r="115" spans="1:7" hidden="1" x14ac:dyDescent="0.25">
      <c r="A115" s="1673"/>
      <c r="B115" s="1687"/>
      <c r="C115" s="1674"/>
      <c r="D115" s="1865"/>
      <c r="E115" s="1560">
        <f t="shared" si="20"/>
        <v>0</v>
      </c>
      <c r="F115" s="1813">
        <f t="shared" si="21"/>
        <v>0</v>
      </c>
      <c r="G115" s="1814">
        <f t="shared" si="22"/>
        <v>0</v>
      </c>
    </row>
    <row r="116" spans="1:7" hidden="1" x14ac:dyDescent="0.25">
      <c r="A116" s="1673"/>
      <c r="B116" s="1687"/>
      <c r="C116" s="1674"/>
      <c r="D116" s="1865"/>
      <c r="E116" s="1560">
        <f t="shared" si="20"/>
        <v>0</v>
      </c>
      <c r="F116" s="1813">
        <f t="shared" si="21"/>
        <v>0</v>
      </c>
      <c r="G116" s="1814">
        <f t="shared" si="22"/>
        <v>0</v>
      </c>
    </row>
    <row r="117" spans="1:7" hidden="1" x14ac:dyDescent="0.25">
      <c r="A117" s="1673"/>
      <c r="B117" s="1687"/>
      <c r="C117" s="1674"/>
      <c r="D117" s="1865"/>
      <c r="E117" s="1560">
        <f t="shared" si="20"/>
        <v>0</v>
      </c>
      <c r="F117" s="1813">
        <f t="shared" si="21"/>
        <v>0</v>
      </c>
      <c r="G117" s="1814">
        <f t="shared" si="22"/>
        <v>0</v>
      </c>
    </row>
    <row r="118" spans="1:7" hidden="1" x14ac:dyDescent="0.25">
      <c r="A118" s="1673"/>
      <c r="B118" s="1687"/>
      <c r="C118" s="1674"/>
      <c r="D118" s="1865"/>
      <c r="E118" s="1560">
        <f t="shared" si="20"/>
        <v>0</v>
      </c>
      <c r="F118" s="1813">
        <f t="shared" si="21"/>
        <v>0</v>
      </c>
      <c r="G118" s="1814">
        <f t="shared" si="22"/>
        <v>0</v>
      </c>
    </row>
    <row r="119" spans="1:7" hidden="1" x14ac:dyDescent="0.25">
      <c r="A119" s="1673"/>
      <c r="B119" s="1687"/>
      <c r="C119" s="1674"/>
      <c r="D119" s="1865"/>
      <c r="E119" s="1560">
        <f t="shared" si="20"/>
        <v>0</v>
      </c>
      <c r="F119" s="1813">
        <f t="shared" si="21"/>
        <v>0</v>
      </c>
      <c r="G119" s="1814">
        <f t="shared" si="22"/>
        <v>0</v>
      </c>
    </row>
    <row r="120" spans="1:7" hidden="1" x14ac:dyDescent="0.25">
      <c r="A120" s="1673"/>
      <c r="B120" s="1687"/>
      <c r="C120" s="1674"/>
      <c r="D120" s="1865"/>
      <c r="E120" s="1560">
        <f t="shared" si="20"/>
        <v>0</v>
      </c>
      <c r="F120" s="1813">
        <f t="shared" si="21"/>
        <v>0</v>
      </c>
      <c r="G120" s="1814">
        <f t="shared" si="22"/>
        <v>0</v>
      </c>
    </row>
    <row r="121" spans="1:7" hidden="1" x14ac:dyDescent="0.25">
      <c r="A121" s="1673"/>
      <c r="B121" s="1687"/>
      <c r="C121" s="1674"/>
      <c r="D121" s="1865"/>
      <c r="E121" s="1560">
        <f t="shared" si="20"/>
        <v>0</v>
      </c>
      <c r="F121" s="1813">
        <f t="shared" si="21"/>
        <v>0</v>
      </c>
      <c r="G121" s="1814">
        <f t="shared" si="22"/>
        <v>0</v>
      </c>
    </row>
    <row r="122" spans="1:7" hidden="1" x14ac:dyDescent="0.25">
      <c r="A122" s="1673"/>
      <c r="B122" s="1687"/>
      <c r="C122" s="1674"/>
      <c r="D122" s="1865"/>
      <c r="E122" s="1560">
        <f t="shared" si="20"/>
        <v>0</v>
      </c>
      <c r="F122" s="1813">
        <f t="shared" si="21"/>
        <v>0</v>
      </c>
      <c r="G122" s="1814">
        <f t="shared" si="22"/>
        <v>0</v>
      </c>
    </row>
    <row r="123" spans="1:7" hidden="1" x14ac:dyDescent="0.25">
      <c r="A123" s="1673"/>
      <c r="B123" s="1687"/>
      <c r="C123" s="1674"/>
      <c r="D123" s="1865"/>
      <c r="E123" s="1560">
        <f t="shared" si="20"/>
        <v>0</v>
      </c>
      <c r="F123" s="1813">
        <f t="shared" si="21"/>
        <v>0</v>
      </c>
      <c r="G123" s="1814">
        <f t="shared" si="22"/>
        <v>0</v>
      </c>
    </row>
    <row r="124" spans="1:7" hidden="1" x14ac:dyDescent="0.25">
      <c r="A124" s="1673"/>
      <c r="B124" s="1687"/>
      <c r="C124" s="1674"/>
      <c r="D124" s="1865"/>
      <c r="E124" s="1560">
        <f t="shared" si="20"/>
        <v>0</v>
      </c>
      <c r="F124" s="1813">
        <f t="shared" si="21"/>
        <v>0</v>
      </c>
      <c r="G124" s="1814">
        <f t="shared" si="22"/>
        <v>0</v>
      </c>
    </row>
    <row r="125" spans="1:7" hidden="1" x14ac:dyDescent="0.25">
      <c r="A125" s="1673"/>
      <c r="B125" s="1687"/>
      <c r="C125" s="1674"/>
      <c r="D125" s="1865"/>
      <c r="E125" s="1560">
        <f t="shared" si="20"/>
        <v>0</v>
      </c>
      <c r="F125" s="1813">
        <f t="shared" si="21"/>
        <v>0</v>
      </c>
      <c r="G125" s="1814">
        <f t="shared" si="22"/>
        <v>0</v>
      </c>
    </row>
    <row r="126" spans="1:7" hidden="1" x14ac:dyDescent="0.25">
      <c r="A126" s="1673"/>
      <c r="B126" s="1687"/>
      <c r="C126" s="1674"/>
      <c r="D126" s="1865"/>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hidden="1" x14ac:dyDescent="0.25">
      <c r="A127" s="1673"/>
      <c r="B127" s="1687"/>
      <c r="C127" s="1674"/>
      <c r="D127" s="1865"/>
      <c r="E127" s="1560">
        <f t="shared" si="23"/>
        <v>0</v>
      </c>
      <c r="F127" s="1813">
        <f t="shared" si="24"/>
        <v>0</v>
      </c>
      <c r="G127" s="1814">
        <f t="shared" si="25"/>
        <v>0</v>
      </c>
    </row>
    <row r="128" spans="1:7" hidden="1" x14ac:dyDescent="0.25">
      <c r="A128" s="1673"/>
      <c r="B128" s="1687"/>
      <c r="C128" s="1674"/>
      <c r="D128" s="1865"/>
      <c r="E128" s="1560">
        <f t="shared" si="23"/>
        <v>0</v>
      </c>
      <c r="F128" s="1813">
        <f t="shared" si="24"/>
        <v>0</v>
      </c>
      <c r="G128" s="1814">
        <f t="shared" si="25"/>
        <v>0</v>
      </c>
    </row>
    <row r="129" spans="1:7" hidden="1" x14ac:dyDescent="0.25">
      <c r="A129" s="1673"/>
      <c r="B129" s="1687"/>
      <c r="C129" s="1674"/>
      <c r="D129" s="1865"/>
      <c r="E129" s="1560">
        <f t="shared" si="23"/>
        <v>0</v>
      </c>
      <c r="F129" s="1813">
        <f t="shared" si="24"/>
        <v>0</v>
      </c>
      <c r="G129" s="1814">
        <f t="shared" si="25"/>
        <v>0</v>
      </c>
    </row>
    <row r="130" spans="1:7" hidden="1" x14ac:dyDescent="0.25">
      <c r="A130" s="1673"/>
      <c r="B130" s="1687"/>
      <c r="C130" s="1674"/>
      <c r="D130" s="1865"/>
      <c r="E130" s="1560">
        <f t="shared" si="23"/>
        <v>0</v>
      </c>
      <c r="F130" s="1813">
        <f t="shared" si="24"/>
        <v>0</v>
      </c>
      <c r="G130" s="1814">
        <f t="shared" si="25"/>
        <v>0</v>
      </c>
    </row>
    <row r="131" spans="1:7" hidden="1" x14ac:dyDescent="0.25">
      <c r="A131" s="1673"/>
      <c r="B131" s="1858"/>
      <c r="C131" s="1674"/>
      <c r="D131" s="1865"/>
      <c r="E131" s="1560">
        <f t="shared" si="23"/>
        <v>0</v>
      </c>
      <c r="F131" s="1813">
        <f t="shared" si="24"/>
        <v>0</v>
      </c>
      <c r="G131" s="1814">
        <f t="shared" si="25"/>
        <v>0</v>
      </c>
    </row>
    <row r="132" spans="1:7" hidden="1" x14ac:dyDescent="0.25">
      <c r="A132" s="1673"/>
      <c r="B132" s="1858"/>
      <c r="C132" s="1674"/>
      <c r="D132" s="1865"/>
      <c r="E132" s="1560">
        <f t="shared" si="23"/>
        <v>0</v>
      </c>
      <c r="F132" s="1813">
        <f t="shared" si="24"/>
        <v>0</v>
      </c>
      <c r="G132" s="1814">
        <f t="shared" si="25"/>
        <v>0</v>
      </c>
    </row>
    <row r="133" spans="1:7" hidden="1" x14ac:dyDescent="0.25">
      <c r="A133" s="1673"/>
      <c r="B133" s="1687"/>
      <c r="C133" s="1674"/>
      <c r="D133" s="1865"/>
      <c r="E133" s="1560">
        <f t="shared" si="23"/>
        <v>0</v>
      </c>
      <c r="F133" s="1813">
        <f t="shared" si="24"/>
        <v>0</v>
      </c>
      <c r="G133" s="1814">
        <f t="shared" si="25"/>
        <v>0</v>
      </c>
    </row>
    <row r="134" spans="1:7" hidden="1" x14ac:dyDescent="0.25">
      <c r="A134" s="1673"/>
      <c r="B134" s="1687"/>
      <c r="C134" s="1674"/>
      <c r="D134" s="1865"/>
      <c r="E134" s="1560">
        <f t="shared" si="23"/>
        <v>0</v>
      </c>
      <c r="F134" s="1813">
        <f t="shared" si="24"/>
        <v>0</v>
      </c>
      <c r="G134" s="1814">
        <f t="shared" si="25"/>
        <v>0</v>
      </c>
    </row>
    <row r="135" spans="1:7" hidden="1" x14ac:dyDescent="0.25">
      <c r="A135" s="1673"/>
      <c r="B135" s="1687"/>
      <c r="C135" s="1674"/>
      <c r="D135" s="1865"/>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hidden="1" x14ac:dyDescent="0.25">
      <c r="A136" s="1673"/>
      <c r="B136" s="1687"/>
      <c r="C136" s="1674"/>
      <c r="D136" s="1865"/>
      <c r="E136" s="1560">
        <f t="shared" si="26"/>
        <v>0</v>
      </c>
      <c r="F136" s="1813">
        <f t="shared" si="27"/>
        <v>0</v>
      </c>
      <c r="G136" s="1814">
        <f t="shared" si="28"/>
        <v>0</v>
      </c>
    </row>
    <row r="137" spans="1:7" hidden="1" x14ac:dyDescent="0.25">
      <c r="A137" s="1673"/>
      <c r="B137" s="1687"/>
      <c r="C137" s="1674"/>
      <c r="D137" s="1865"/>
      <c r="E137" s="1560">
        <f t="shared" si="26"/>
        <v>0</v>
      </c>
      <c r="F137" s="1813">
        <f t="shared" si="27"/>
        <v>0</v>
      </c>
      <c r="G137" s="1814">
        <f t="shared" si="28"/>
        <v>0</v>
      </c>
    </row>
    <row r="138" spans="1:7" hidden="1" x14ac:dyDescent="0.25">
      <c r="A138" s="1673"/>
      <c r="B138" s="1687"/>
      <c r="C138" s="1674"/>
      <c r="D138" s="1865"/>
      <c r="E138" s="1560">
        <f t="shared" si="26"/>
        <v>0</v>
      </c>
      <c r="F138" s="1813">
        <f t="shared" si="27"/>
        <v>0</v>
      </c>
      <c r="G138" s="1814">
        <f t="shared" si="28"/>
        <v>0</v>
      </c>
    </row>
    <row r="139" spans="1:7" hidden="1" x14ac:dyDescent="0.25">
      <c r="A139" s="1673"/>
      <c r="B139" s="1687"/>
      <c r="C139" s="1674"/>
      <c r="D139" s="1865"/>
      <c r="E139" s="1560">
        <f t="shared" si="26"/>
        <v>0</v>
      </c>
      <c r="F139" s="1813">
        <f t="shared" si="27"/>
        <v>0</v>
      </c>
      <c r="G139" s="1814">
        <f t="shared" si="28"/>
        <v>0</v>
      </c>
    </row>
    <row r="140" spans="1:7" hidden="1" x14ac:dyDescent="0.25">
      <c r="A140" s="1673"/>
      <c r="B140" s="1686"/>
      <c r="C140" s="1674"/>
      <c r="D140" s="1865"/>
      <c r="E140" s="1560">
        <f t="shared" si="2"/>
        <v>0</v>
      </c>
      <c r="F140" s="1813">
        <f t="shared" si="3"/>
        <v>0</v>
      </c>
      <c r="G140" s="1814">
        <f t="shared" si="4"/>
        <v>0</v>
      </c>
    </row>
    <row r="141" spans="1:7" x14ac:dyDescent="0.25">
      <c r="A141" s="1817" t="s">
        <v>158</v>
      </c>
      <c r="B141" s="1818"/>
      <c r="C141" s="1819"/>
      <c r="D141" s="1815">
        <f>SUM(D17:D140)</f>
        <v>34774</v>
      </c>
      <c r="E141" s="1561">
        <f t="shared" si="1"/>
        <v>25000</v>
      </c>
      <c r="F141" s="1815">
        <f>SUM(F17:F140)</f>
        <v>25000</v>
      </c>
      <c r="G141" s="1816">
        <f>SUM(G17:G140)</f>
        <v>9774</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2" customHeight="1" x14ac:dyDescent="0.2">
      <c r="A1" s="1654" t="s">
        <v>1177</v>
      </c>
      <c r="B1" s="1655"/>
      <c r="C1" s="1656"/>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425" t="s">
        <v>1778</v>
      </c>
      <c r="B5" s="2426"/>
      <c r="C5" s="2426"/>
      <c r="D5" s="2426"/>
      <c r="E5" s="2426"/>
      <c r="F5" s="2426"/>
      <c r="G5" s="2427"/>
      <c r="H5" s="252"/>
      <c r="I5" s="608"/>
    </row>
    <row r="6" spans="1:9" s="667" customFormat="1" x14ac:dyDescent="0.2">
      <c r="A6" s="1657"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2073</v>
      </c>
      <c r="B10" s="970"/>
      <c r="C10" s="975"/>
      <c r="D10" s="971"/>
      <c r="E10" s="972"/>
      <c r="F10" s="973"/>
      <c r="G10" s="974"/>
      <c r="H10" s="162"/>
      <c r="I10" s="162"/>
    </row>
    <row r="11" spans="1:9" s="667" customFormat="1" ht="22.5" customHeight="1" x14ac:dyDescent="0.2">
      <c r="A11" s="2430" t="s">
        <v>1942</v>
      </c>
      <c r="B11" s="2431"/>
      <c r="C11" s="2431"/>
      <c r="D11" s="2432"/>
      <c r="E11" s="976"/>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8" t="s">
        <v>553</v>
      </c>
      <c r="E17" s="1659"/>
      <c r="F17" s="1658" t="s">
        <v>453</v>
      </c>
      <c r="G17" s="1660"/>
      <c r="H17" s="162"/>
      <c r="I17" s="162"/>
    </row>
    <row r="18" spans="1:9" s="259" customFormat="1" ht="11.25" x14ac:dyDescent="0.2">
      <c r="A18" s="987"/>
      <c r="C18" s="988" t="s">
        <v>454</v>
      </c>
      <c r="D18" s="1661" t="s">
        <v>455</v>
      </c>
      <c r="E18" s="1661" t="s">
        <v>55</v>
      </c>
      <c r="F18" s="1661" t="s">
        <v>455</v>
      </c>
      <c r="G18" s="1661" t="s">
        <v>55</v>
      </c>
      <c r="H18" s="178"/>
      <c r="I18" s="178"/>
    </row>
    <row r="19" spans="1:9" s="667" customFormat="1" ht="12" customHeight="1" x14ac:dyDescent="0.2">
      <c r="A19" s="989" t="s">
        <v>476</v>
      </c>
      <c r="B19" s="990"/>
      <c r="C19" s="991" t="s">
        <v>591</v>
      </c>
      <c r="D19" s="1820"/>
      <c r="E19" s="1821">
        <f>'Expenditures 15-22'!K33-SUM('Expenditures 15-22'!G33,'Expenditures 15-22'!I33)+'Expenditures 15-22'!D229</f>
        <v>4299559</v>
      </c>
      <c r="F19" s="1820"/>
      <c r="G19" s="1822">
        <f>'Expenditures 15-22'!K33-SUM('Expenditures 15-22'!G33,'Expenditures 15-22'!I33)+'Expenditures 15-22'!D229</f>
        <v>4299559</v>
      </c>
      <c r="H19" s="986"/>
      <c r="I19" s="162"/>
    </row>
    <row r="20" spans="1:9" s="667" customFormat="1" ht="12" customHeight="1" x14ac:dyDescent="0.2">
      <c r="A20" s="989" t="s">
        <v>56</v>
      </c>
      <c r="B20" s="990"/>
      <c r="C20" s="992"/>
      <c r="D20" s="1823"/>
      <c r="E20" s="1823"/>
      <c r="F20" s="1823"/>
      <c r="G20" s="1824"/>
      <c r="H20" s="986"/>
      <c r="I20" s="162"/>
    </row>
    <row r="21" spans="1:9" s="667" customFormat="1" ht="12" customHeight="1" x14ac:dyDescent="0.2">
      <c r="A21" s="993" t="s">
        <v>421</v>
      </c>
      <c r="B21" s="994"/>
      <c r="C21" s="992">
        <v>2100</v>
      </c>
      <c r="D21" s="1823"/>
      <c r="E21" s="1825">
        <f>'Expenditures 15-22'!K42-SUM('Expenditures 15-22'!G42,'Expenditures 15-22'!I42)+'Expenditures 15-22'!K120-SUM('Expenditures 15-22'!G120,'Expenditures 15-22'!I120)+'Expenditures 15-22'!K180-SUM('Expenditures 15-22'!G180,'Expenditures 15-22'!I180)+'Expenditures 15-22'!D238</f>
        <v>1951624</v>
      </c>
      <c r="F21" s="1823"/>
      <c r="G21" s="1826">
        <f>'Expenditures 15-22'!K42-SUM('Expenditures 15-22'!G42,'Expenditures 15-22'!I42)+'Expenditures 15-22'!K120-SUM('Expenditures 15-22'!G120,'Expenditures 15-22'!I120)+'Expenditures 15-22'!K180-SUM('Expenditures 15-22'!G180,'Expenditures 15-22'!I180)+'Expenditures 15-22'!D238</f>
        <v>1951624</v>
      </c>
      <c r="H21" s="986"/>
      <c r="I21" s="162"/>
    </row>
    <row r="22" spans="1:9" s="667" customFormat="1" ht="12" customHeight="1" x14ac:dyDescent="0.2">
      <c r="A22" s="993" t="s">
        <v>585</v>
      </c>
      <c r="B22" s="994"/>
      <c r="C22" s="992">
        <v>2200</v>
      </c>
      <c r="D22" s="1823"/>
      <c r="E22" s="1825">
        <f>'Expenditures 15-22'!K47-SUM('Expenditures 15-22'!G47,'Expenditures 15-22'!I47)+'Expenditures 15-22'!D243</f>
        <v>792606</v>
      </c>
      <c r="F22" s="1823"/>
      <c r="G22" s="1826">
        <f>'Expenditures 15-22'!K47-SUM('Expenditures 15-22'!G47,'Expenditures 15-22'!I47)+'Expenditures 15-22'!D243</f>
        <v>792606</v>
      </c>
      <c r="H22" s="986"/>
      <c r="I22" s="162"/>
    </row>
    <row r="23" spans="1:9" s="667" customFormat="1" ht="12" customHeight="1" x14ac:dyDescent="0.2">
      <c r="A23" s="993" t="s">
        <v>586</v>
      </c>
      <c r="B23" s="994"/>
      <c r="C23" s="992">
        <v>2300</v>
      </c>
      <c r="D23" s="1823"/>
      <c r="E23" s="1825">
        <f>'Expenditures 15-22'!K53-SUM('Expenditures 15-22'!G53,'Expenditures 15-22'!I53)+'Expenditures 15-22'!D257+'Expenditures 15-22'!K330-SUM('Expenditures 15-22'!G330,'Expenditures 15-22'!I330)</f>
        <v>384943</v>
      </c>
      <c r="F23" s="1823"/>
      <c r="G23" s="1825">
        <f>'Expenditures 15-22'!K53-SUM('Expenditures 15-22'!G53,'Expenditures 15-22'!I53)+'Expenditures 15-22'!D257+'Expenditures 15-22'!K330-SUM('Expenditures 15-22'!G330,'Expenditures 15-22'!I330)</f>
        <v>384943</v>
      </c>
      <c r="H23" s="986"/>
      <c r="I23" s="162"/>
    </row>
    <row r="24" spans="1:9" s="667" customFormat="1" ht="12" customHeight="1" x14ac:dyDescent="0.2">
      <c r="A24" s="993" t="s">
        <v>587</v>
      </c>
      <c r="B24" s="994"/>
      <c r="C24" s="992">
        <v>2400</v>
      </c>
      <c r="D24" s="1823"/>
      <c r="E24" s="1825">
        <f>'Expenditures 15-22'!K57-SUM('Expenditures 15-22'!G57,'Expenditures 15-22'!I57)+'Expenditures 15-22'!D261</f>
        <v>139861</v>
      </c>
      <c r="F24" s="1823"/>
      <c r="G24" s="1826">
        <f>'Expenditures 15-22'!K57-SUM('Expenditures 15-22'!G57,'Expenditures 15-22'!I57)+'Expenditures 15-22'!D261</f>
        <v>139861</v>
      </c>
      <c r="H24" s="986"/>
      <c r="I24" s="162"/>
    </row>
    <row r="25" spans="1:9" s="667" customFormat="1" ht="12" customHeight="1" x14ac:dyDescent="0.2">
      <c r="A25" s="989" t="s">
        <v>588</v>
      </c>
      <c r="B25" s="995"/>
      <c r="C25" s="992"/>
      <c r="D25" s="1823"/>
      <c r="E25" s="1825"/>
      <c r="F25" s="1823"/>
      <c r="G25" s="1826"/>
      <c r="H25" s="986"/>
      <c r="I25" s="162"/>
    </row>
    <row r="26" spans="1:9" s="667" customFormat="1" ht="12" customHeight="1" x14ac:dyDescent="0.2">
      <c r="A26" s="993" t="s">
        <v>536</v>
      </c>
      <c r="B26" s="996"/>
      <c r="C26" s="992">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6"/>
      <c r="I26" s="162"/>
    </row>
    <row r="27" spans="1:9" s="667" customFormat="1" ht="12" customHeight="1" x14ac:dyDescent="0.2">
      <c r="A27" s="993" t="s">
        <v>483</v>
      </c>
      <c r="B27" s="996"/>
      <c r="C27" s="992">
        <v>2520</v>
      </c>
      <c r="D27" s="1825">
        <f>'Expenditures 15-22'!K60-SUM('Expenditures 15-22'!G60,'Expenditures 15-22'!I60)+'Expenditures 15-22'!D264-E8</f>
        <v>59800</v>
      </c>
      <c r="E27" s="1825">
        <f>E8</f>
        <v>0</v>
      </c>
      <c r="F27" s="1825">
        <f>'Expenditures 15-22'!K60-SUM('Expenditures 15-22'!G60,'Expenditures 15-22'!I60)+'Expenditures 15-22'!D264-E8</f>
        <v>59800</v>
      </c>
      <c r="G27" s="1826">
        <f>E8</f>
        <v>0</v>
      </c>
      <c r="H27" s="986"/>
      <c r="I27" s="162"/>
    </row>
    <row r="28" spans="1:9" s="667" customFormat="1" ht="12" customHeight="1" x14ac:dyDescent="0.2">
      <c r="A28" s="993" t="s">
        <v>537</v>
      </c>
      <c r="B28" s="996"/>
      <c r="C28" s="992">
        <v>2540</v>
      </c>
      <c r="D28" s="1827"/>
      <c r="E28" s="1825">
        <f>'Expenditures 15-22'!K61-SUM('Expenditures 15-22'!G61,'Expenditures 15-22'!I61)+'Expenditures 15-22'!K124-SUM('Expenditures 15-22'!G124,'Expenditures 15-22'!I124)+'Expenditures 15-22'!D266</f>
        <v>74326</v>
      </c>
      <c r="F28" s="1827">
        <f>'Expenditures 15-22'!K61-SUM('Expenditures 15-22'!G61,'Expenditures 15-22'!I61)+'Expenditures 15-22'!K124-SUM('Expenditures 15-22'!G124,'Expenditures 15-22'!I124)+'Expenditures 15-22'!D266-E9</f>
        <v>74326</v>
      </c>
      <c r="G28" s="1826">
        <f>E9</f>
        <v>0</v>
      </c>
      <c r="H28" s="986"/>
      <c r="I28" s="162"/>
    </row>
    <row r="29" spans="1:9" ht="12" customHeight="1" x14ac:dyDescent="0.2">
      <c r="A29" s="993" t="s">
        <v>538</v>
      </c>
      <c r="B29" s="996"/>
      <c r="C29" s="992">
        <v>2550</v>
      </c>
      <c r="D29" s="1823"/>
      <c r="E29" s="1825">
        <f>'Expenditures 15-22'!K62-SUM('Expenditures 15-22'!G62,'Expenditures 15-22'!I62)+'Expenditures 15-22'!K125-SUM('Expenditures 15-22'!G125,'Expenditures 15-22'!I125)+'Expenditures 15-22'!K182-SUM('Expenditures 15-22'!G182,'Expenditures 15-22'!I182)+'Expenditures 15-22'!D267</f>
        <v>0</v>
      </c>
      <c r="F29" s="1823"/>
      <c r="G29" s="1826">
        <f>'Expenditures 15-22'!K62-SUM('Expenditures 15-22'!G62,'Expenditures 15-22'!I62)+'Expenditures 15-22'!K125-SUM('Expenditures 15-22'!G125,'Expenditures 15-22'!I125)+'Expenditures 15-22'!K182-SUM('Expenditures 15-22'!G182,'Expenditures 15-22'!I182)+'Expenditures 15-22'!D267</f>
        <v>0</v>
      </c>
      <c r="H29" s="984"/>
    </row>
    <row r="30" spans="1:9" ht="12" customHeight="1" x14ac:dyDescent="0.2">
      <c r="A30" s="993" t="s">
        <v>102</v>
      </c>
      <c r="B30" s="996"/>
      <c r="C30" s="992">
        <v>2560</v>
      </c>
      <c r="D30" s="1823"/>
      <c r="E30" s="1825">
        <f>'Expenditures 15-22'!K63-SUM('Expenditures 15-22'!G63,'Expenditures 15-22'!I63)+'Expenditures 15-22'!D268-E10</f>
        <v>62682</v>
      </c>
      <c r="F30" s="1823"/>
      <c r="G30" s="1825">
        <f>'Expenditures 15-22'!K63-SUM('Expenditures 15-22'!G63,'Expenditures 15-22'!I63)+'Expenditures 15-22'!D268-E10</f>
        <v>62682</v>
      </c>
    </row>
    <row r="31" spans="1:9" ht="12" customHeight="1" x14ac:dyDescent="0.2">
      <c r="A31" s="993" t="s">
        <v>103</v>
      </c>
      <c r="B31" s="996"/>
      <c r="C31" s="992">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89" t="s">
        <v>539</v>
      </c>
      <c r="B32" s="995"/>
      <c r="C32" s="992"/>
      <c r="D32" s="1823"/>
      <c r="E32" s="1823"/>
      <c r="F32" s="1823"/>
      <c r="G32" s="1823"/>
    </row>
    <row r="33" spans="1:7" ht="12" customHeight="1" x14ac:dyDescent="0.2">
      <c r="A33" s="993" t="s">
        <v>540</v>
      </c>
      <c r="B33" s="996"/>
      <c r="C33" s="992">
        <v>2610</v>
      </c>
      <c r="D33" s="1823"/>
      <c r="E33" s="1825">
        <f>'Expenditures 15-22'!K67-SUM('Expenditures 15-22'!G67,'Expenditures 15-22'!I67)+'Expenditures 15-22'!D272</f>
        <v>13171</v>
      </c>
      <c r="F33" s="1823"/>
      <c r="G33" s="1825">
        <f>'Expenditures 15-22'!K67-SUM('Expenditures 15-22'!G67,'Expenditures 15-22'!I67)+'Expenditures 15-22'!D272</f>
        <v>13171</v>
      </c>
    </row>
    <row r="34" spans="1:7" ht="12" customHeight="1" x14ac:dyDescent="0.2">
      <c r="A34" s="993" t="s">
        <v>541</v>
      </c>
      <c r="B34" s="996"/>
      <c r="C34" s="992">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3" t="s">
        <v>1121</v>
      </c>
      <c r="B35" s="996"/>
      <c r="C35" s="992">
        <v>2630</v>
      </c>
      <c r="D35" s="1823"/>
      <c r="E35" s="1825">
        <f>'Expenditures 15-22'!K69-SUM('Expenditures 15-22'!G69,'Expenditures 15-22'!I69)+'Expenditures 15-22'!D274</f>
        <v>3478</v>
      </c>
      <c r="F35" s="1823"/>
      <c r="G35" s="1825">
        <f>'Expenditures 15-22'!K69-SUM('Expenditures 15-22'!G69,'Expenditures 15-22'!I69)+'Expenditures 15-22'!D274</f>
        <v>3478</v>
      </c>
    </row>
    <row r="36" spans="1:7" ht="12" customHeight="1" x14ac:dyDescent="0.2">
      <c r="A36" s="993" t="s">
        <v>423</v>
      </c>
      <c r="B36" s="996"/>
      <c r="C36" s="992">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3" t="s">
        <v>424</v>
      </c>
      <c r="B37" s="996"/>
      <c r="C37" s="992">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89" t="s">
        <v>542</v>
      </c>
      <c r="B38" s="990"/>
      <c r="C38" s="992">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23"/>
      <c r="E39" s="1825">
        <f>'Expenditures 15-22'!K75-SUM('Expenditures 15-22'!G75,'Expenditures 15-22'!I75)+'Expenditures 15-22'!K130-SUM('Expenditures 15-22'!G130,'Expenditures 15-22'!I130)+'Expenditures 15-22'!K185-SUM('Expenditures 15-22'!G185,'Expenditures 15-22'!I185)+'Expenditures 15-22'!D280</f>
        <v>23274</v>
      </c>
      <c r="F39" s="1823"/>
      <c r="G39" s="1825">
        <f>'Expenditures 15-22'!K75-SUM('Expenditures 15-22'!G75,'Expenditures 15-22'!I75)+'Expenditures 15-22'!K130-SUM('Expenditures 15-22'!G130,'Expenditures 15-22'!I130)+'Expenditures 15-22'!K185-SUM('Expenditures 15-22'!G185,'Expenditures 15-22'!I185)+'Expenditures 15-22'!D280</f>
        <v>23274</v>
      </c>
    </row>
    <row r="40" spans="1:7" ht="12" customHeight="1" x14ac:dyDescent="0.2">
      <c r="A40" s="989" t="s">
        <v>1927</v>
      </c>
      <c r="B40" s="990"/>
      <c r="C40" s="992"/>
      <c r="D40" s="1823"/>
      <c r="E40" s="1827">
        <f>-'Contracts Paid in CY 29'!G141</f>
        <v>-9774</v>
      </c>
      <c r="F40" s="1823"/>
      <c r="G40" s="1827">
        <f>-'Contracts Paid in CY 29'!G141</f>
        <v>-9774</v>
      </c>
    </row>
    <row r="41" spans="1:7" ht="12" customHeight="1" x14ac:dyDescent="0.2">
      <c r="A41" s="997" t="s">
        <v>158</v>
      </c>
      <c r="B41" s="998"/>
      <c r="C41" s="999"/>
      <c r="D41" s="1827">
        <f>SUM(D19:D39)</f>
        <v>59800</v>
      </c>
      <c r="E41" s="1827">
        <f>SUM(E19:E40)</f>
        <v>7735750</v>
      </c>
      <c r="F41" s="1827">
        <f>SUM(F19:F39)</f>
        <v>134126</v>
      </c>
      <c r="G41" s="1827">
        <f>SUM(G19:G40)</f>
        <v>7661424</v>
      </c>
    </row>
    <row r="42" spans="1:7" x14ac:dyDescent="0.2">
      <c r="A42" s="986"/>
      <c r="B42" s="162"/>
      <c r="C42" s="1000"/>
      <c r="D42" s="2428" t="s">
        <v>543</v>
      </c>
      <c r="E42" s="2429"/>
      <c r="F42" s="1001" t="s">
        <v>544</v>
      </c>
      <c r="G42" s="1002"/>
    </row>
    <row r="43" spans="1:7" ht="12" customHeight="1" x14ac:dyDescent="0.2">
      <c r="A43" s="986"/>
      <c r="B43" s="162"/>
      <c r="C43" s="1000"/>
      <c r="D43" s="1828" t="s">
        <v>493</v>
      </c>
      <c r="E43" s="1829">
        <f>D41</f>
        <v>59800</v>
      </c>
      <c r="F43" s="1828" t="s">
        <v>495</v>
      </c>
      <c r="G43" s="1829">
        <f>F41</f>
        <v>134126</v>
      </c>
    </row>
    <row r="44" spans="1:7" ht="12" customHeight="1" x14ac:dyDescent="0.2">
      <c r="A44" s="986"/>
      <c r="B44" s="162"/>
      <c r="C44" s="1000"/>
      <c r="D44" s="1828" t="s">
        <v>494</v>
      </c>
      <c r="E44" s="1829">
        <f>E41</f>
        <v>7735750</v>
      </c>
      <c r="F44" s="1828" t="s">
        <v>494</v>
      </c>
      <c r="G44" s="1829">
        <f>G41</f>
        <v>7661424</v>
      </c>
    </row>
    <row r="45" spans="1:7" ht="12" customHeight="1" x14ac:dyDescent="0.2">
      <c r="A45" s="986"/>
      <c r="B45" s="162"/>
      <c r="C45" s="162"/>
      <c r="D45" s="1830" t="s">
        <v>1063</v>
      </c>
      <c r="E45" s="1831">
        <f>(E43/E44)</f>
        <v>7.7303428885369873E-3</v>
      </c>
      <c r="F45" s="1830" t="s">
        <v>1063</v>
      </c>
      <c r="G45" s="1831">
        <f>(G43/G44)</f>
        <v>1.7506667167878975E-2</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25" sqref="A25:H25"/>
      <selection pane="bottomLeft" activeCell="A5" sqref="A5:F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447" t="s">
        <v>1446</v>
      </c>
      <c r="B1" s="2447"/>
      <c r="C1" s="2447"/>
      <c r="D1" s="2447"/>
      <c r="E1" s="2447"/>
      <c r="F1" s="2447"/>
    </row>
    <row r="2" spans="1:10" x14ac:dyDescent="0.2">
      <c r="A2" s="1910" t="s">
        <v>2045</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448" t="s">
        <v>1627</v>
      </c>
      <c r="B5" s="2449"/>
      <c r="C5" s="2450"/>
      <c r="D5" s="2450"/>
      <c r="E5" s="2450"/>
      <c r="F5" s="2450"/>
    </row>
    <row r="6" spans="1:10" ht="12" customHeight="1" x14ac:dyDescent="0.25">
      <c r="A6" s="1873"/>
      <c r="B6" s="1874"/>
      <c r="C6" s="2451" t="str">
        <f>COVER!A17</f>
        <v>Henry-Stark County SpEd District</v>
      </c>
      <c r="D6" s="2451"/>
      <c r="E6" s="2451"/>
      <c r="F6" s="1875"/>
    </row>
    <row r="7" spans="1:10" ht="11.25" customHeight="1" thickBot="1" x14ac:dyDescent="0.3">
      <c r="A7" s="1873"/>
      <c r="B7" s="1874"/>
      <c r="C7" s="2452">
        <f>COVER!A13</f>
        <v>28037801060</v>
      </c>
      <c r="D7" s="2452"/>
      <c r="E7" s="2452"/>
      <c r="F7" s="1875"/>
    </row>
    <row r="8" spans="1:10" ht="25.5" customHeight="1" thickBot="1" x14ac:dyDescent="0.25">
      <c r="A8" s="1916" t="s">
        <v>2022</v>
      </c>
      <c r="B8" s="1876"/>
      <c r="C8" s="1912" t="s">
        <v>1780</v>
      </c>
      <c r="D8" s="1911" t="s">
        <v>1781</v>
      </c>
      <c r="E8" s="1913" t="s">
        <v>1447</v>
      </c>
      <c r="F8" s="1911" t="s">
        <v>1782</v>
      </c>
      <c r="H8" s="1877" t="b">
        <v>0</v>
      </c>
    </row>
    <row r="9" spans="1:10" ht="15.9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c r="E11" s="1889"/>
      <c r="F11" s="1890"/>
      <c r="H11" s="1901">
        <f>IF(C11="X",5,0)</f>
        <v>0</v>
      </c>
      <c r="I11" s="1901">
        <f>IF(D11="X",5,0)</f>
        <v>0</v>
      </c>
      <c r="J11" s="1901">
        <f>IF(E11="X",5,0)</f>
        <v>0</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c r="D13" s="1888"/>
      <c r="E13" s="1891"/>
      <c r="F13" s="1890"/>
      <c r="H13" s="1901">
        <f t="shared" si="0"/>
        <v>0</v>
      </c>
      <c r="I13" s="1901">
        <f t="shared" si="1"/>
        <v>0</v>
      </c>
      <c r="J13" s="1901">
        <f t="shared" si="2"/>
        <v>0</v>
      </c>
    </row>
    <row r="14" spans="1:10" ht="12" customHeight="1" x14ac:dyDescent="0.2">
      <c r="A14" s="1886" t="s">
        <v>1453</v>
      </c>
      <c r="B14" s="1887"/>
      <c r="C14" s="1888"/>
      <c r="D14" s="1888"/>
      <c r="E14" s="1891"/>
      <c r="F14" s="1890"/>
      <c r="H14" s="1901">
        <f t="shared" si="0"/>
        <v>0</v>
      </c>
      <c r="I14" s="1901">
        <f t="shared" si="1"/>
        <v>0</v>
      </c>
      <c r="J14" s="1901">
        <f t="shared" si="2"/>
        <v>0</v>
      </c>
    </row>
    <row r="15" spans="1:10" ht="12" customHeight="1" x14ac:dyDescent="0.2">
      <c r="A15" s="1886" t="s">
        <v>1454</v>
      </c>
      <c r="B15" s="1887"/>
      <c r="C15" s="1888"/>
      <c r="D15" s="1888"/>
      <c r="E15" s="1891"/>
      <c r="F15" s="1890"/>
      <c r="H15" s="1901">
        <f t="shared" si="0"/>
        <v>0</v>
      </c>
      <c r="I15" s="1901">
        <f t="shared" si="1"/>
        <v>0</v>
      </c>
      <c r="J15" s="1901">
        <f t="shared" si="2"/>
        <v>0</v>
      </c>
    </row>
    <row r="16" spans="1:10" ht="12" customHeight="1" x14ac:dyDescent="0.2">
      <c r="A16" s="1886" t="s">
        <v>1455</v>
      </c>
      <c r="B16" s="1887"/>
      <c r="C16" s="1888"/>
      <c r="D16" s="1888"/>
      <c r="E16" s="1891"/>
      <c r="F16" s="1890"/>
      <c r="H16" s="1901">
        <f t="shared" si="0"/>
        <v>0</v>
      </c>
      <c r="I16" s="1901">
        <f t="shared" si="1"/>
        <v>0</v>
      </c>
      <c r="J16" s="1901">
        <f t="shared" si="2"/>
        <v>0</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c r="D19" s="1888"/>
      <c r="E19" s="1891"/>
      <c r="F19" s="1890"/>
      <c r="H19" s="1901">
        <f t="shared" si="0"/>
        <v>0</v>
      </c>
      <c r="I19" s="1901">
        <f t="shared" si="1"/>
        <v>0</v>
      </c>
      <c r="J19" s="1901">
        <f t="shared" si="2"/>
        <v>0</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c r="D21" s="1888"/>
      <c r="E21" s="1891"/>
      <c r="F21" s="1890"/>
      <c r="H21" s="1901">
        <f t="shared" si="0"/>
        <v>0</v>
      </c>
      <c r="I21" s="1901">
        <f t="shared" si="1"/>
        <v>0</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c r="D23" s="1888"/>
      <c r="E23" s="1891"/>
      <c r="F23" s="1890"/>
      <c r="H23" s="1901">
        <f t="shared" si="0"/>
        <v>0</v>
      </c>
      <c r="I23" s="1901">
        <f t="shared" si="1"/>
        <v>0</v>
      </c>
      <c r="J23" s="1901">
        <f t="shared" si="2"/>
        <v>0</v>
      </c>
    </row>
    <row r="24" spans="1:12" ht="12" customHeight="1" x14ac:dyDescent="0.2">
      <c r="A24" s="1886" t="s">
        <v>1613</v>
      </c>
      <c r="B24" s="1887"/>
      <c r="C24" s="1888"/>
      <c r="D24" s="1888"/>
      <c r="E24" s="1891"/>
      <c r="F24" s="1890"/>
      <c r="H24" s="1901">
        <f t="shared" si="0"/>
        <v>0</v>
      </c>
      <c r="I24" s="1901">
        <f t="shared" si="1"/>
        <v>0</v>
      </c>
      <c r="J24" s="1901">
        <f t="shared" si="2"/>
        <v>0</v>
      </c>
    </row>
    <row r="25" spans="1:12" ht="12" customHeight="1" x14ac:dyDescent="0.2">
      <c r="A25" s="1886" t="s">
        <v>1614</v>
      </c>
      <c r="B25" s="1887"/>
      <c r="C25" s="1888"/>
      <c r="D25" s="1888"/>
      <c r="E25" s="1891"/>
      <c r="F25" s="1890"/>
      <c r="H25" s="1901">
        <f t="shared" si="0"/>
        <v>0</v>
      </c>
      <c r="I25" s="1901">
        <f t="shared" si="1"/>
        <v>0</v>
      </c>
      <c r="J25" s="1901">
        <f t="shared" si="2"/>
        <v>0</v>
      </c>
    </row>
    <row r="26" spans="1:12" ht="12" customHeight="1" x14ac:dyDescent="0.2">
      <c r="A26" s="1886" t="s">
        <v>1615</v>
      </c>
      <c r="B26" s="1887"/>
      <c r="C26" s="1888" t="s">
        <v>2074</v>
      </c>
      <c r="D26" s="1888" t="s">
        <v>2074</v>
      </c>
      <c r="E26" s="1891"/>
      <c r="F26" s="1890" t="s">
        <v>2178</v>
      </c>
      <c r="H26" s="1901">
        <f t="shared" si="0"/>
        <v>5</v>
      </c>
      <c r="I26" s="1901">
        <f t="shared" si="1"/>
        <v>5</v>
      </c>
      <c r="J26" s="1901">
        <f t="shared" si="2"/>
        <v>0</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c r="D28" s="1888"/>
      <c r="E28" s="1891"/>
      <c r="F28" s="1890"/>
      <c r="H28" s="1901">
        <f t="shared" si="0"/>
        <v>0</v>
      </c>
      <c r="I28" s="1901">
        <f t="shared" si="1"/>
        <v>0</v>
      </c>
      <c r="J28" s="1901">
        <f t="shared" si="2"/>
        <v>0</v>
      </c>
    </row>
    <row r="29" spans="1:12" ht="12" customHeight="1" x14ac:dyDescent="0.2">
      <c r="A29" s="1886" t="s">
        <v>1618</v>
      </c>
      <c r="B29" s="1887"/>
      <c r="C29" s="1888"/>
      <c r="D29" s="1888"/>
      <c r="E29" s="1891"/>
      <c r="F29" s="1890"/>
      <c r="H29" s="1901">
        <f t="shared" si="0"/>
        <v>0</v>
      </c>
      <c r="I29" s="1901">
        <f t="shared" si="1"/>
        <v>0</v>
      </c>
      <c r="J29" s="1901">
        <f t="shared" si="2"/>
        <v>0</v>
      </c>
    </row>
    <row r="30" spans="1:12" ht="12" customHeight="1" x14ac:dyDescent="0.2">
      <c r="A30" s="1886" t="s">
        <v>1619</v>
      </c>
      <c r="B30" s="1887"/>
      <c r="C30" s="1888"/>
      <c r="D30" s="1888"/>
      <c r="E30" s="1891"/>
      <c r="F30" s="1890"/>
      <c r="H30" s="1901">
        <f t="shared" si="0"/>
        <v>0</v>
      </c>
      <c r="I30" s="1901">
        <f t="shared" si="1"/>
        <v>0</v>
      </c>
      <c r="J30" s="1901">
        <f t="shared" si="2"/>
        <v>0</v>
      </c>
    </row>
    <row r="31" spans="1:12" ht="12" customHeight="1" x14ac:dyDescent="0.2">
      <c r="A31" s="1886" t="s">
        <v>1620</v>
      </c>
      <c r="B31" s="1887"/>
      <c r="C31" s="1888"/>
      <c r="D31" s="1888"/>
      <c r="E31" s="1891"/>
      <c r="F31" s="1890"/>
      <c r="H31" s="1901">
        <f t="shared" si="0"/>
        <v>0</v>
      </c>
      <c r="I31" s="1901">
        <f t="shared" si="1"/>
        <v>0</v>
      </c>
      <c r="J31" s="1901">
        <f t="shared" si="2"/>
        <v>0</v>
      </c>
      <c r="L31" s="1892"/>
    </row>
    <row r="32" spans="1:12" ht="12" customHeight="1" x14ac:dyDescent="0.2">
      <c r="A32" s="1886" t="s">
        <v>1621</v>
      </c>
      <c r="B32" s="1887"/>
      <c r="C32" s="1888"/>
      <c r="D32" s="1888"/>
      <c r="E32" s="1891"/>
      <c r="F32" s="1890"/>
      <c r="H32" s="1901">
        <f t="shared" si="0"/>
        <v>0</v>
      </c>
      <c r="I32" s="1901">
        <f t="shared" si="1"/>
        <v>0</v>
      </c>
      <c r="J32" s="1901">
        <f t="shared" si="2"/>
        <v>0</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5</v>
      </c>
      <c r="I34" s="1901">
        <f>SUM(I11:I32)</f>
        <v>5</v>
      </c>
      <c r="J34" s="1901">
        <f>SUM(J11:J32)</f>
        <v>0</v>
      </c>
      <c r="K34" s="1901">
        <f>SUM(H34:J34)</f>
        <v>10</v>
      </c>
    </row>
    <row r="35" spans="1:11" ht="12" customHeight="1" x14ac:dyDescent="0.2">
      <c r="A35" s="1894" t="s">
        <v>1459</v>
      </c>
      <c r="B35" s="1895"/>
      <c r="C35" s="2453"/>
      <c r="D35" s="2453"/>
      <c r="E35" s="2453"/>
      <c r="F35" s="2454"/>
    </row>
    <row r="36" spans="1:11" ht="12" customHeight="1" x14ac:dyDescent="0.2">
      <c r="A36" s="2436"/>
      <c r="B36" s="2437"/>
      <c r="C36" s="2437"/>
      <c r="D36" s="2437"/>
      <c r="E36" s="2437"/>
      <c r="F36" s="2438"/>
    </row>
    <row r="37" spans="1:11" ht="12" customHeight="1" x14ac:dyDescent="0.2">
      <c r="A37" s="2436"/>
      <c r="B37" s="2437"/>
      <c r="C37" s="2437"/>
      <c r="D37" s="2437"/>
      <c r="E37" s="2437"/>
      <c r="F37" s="2438"/>
    </row>
    <row r="38" spans="1:11" ht="12" customHeight="1" x14ac:dyDescent="0.2">
      <c r="A38" s="2439"/>
      <c r="B38" s="2440"/>
      <c r="C38" s="2440"/>
      <c r="D38" s="2440"/>
      <c r="E38" s="2440"/>
      <c r="F38" s="2441"/>
    </row>
    <row r="39" spans="1:11" ht="4.5" hidden="1" customHeight="1" x14ac:dyDescent="0.2">
      <c r="A39" s="1896"/>
      <c r="B39" s="1896"/>
      <c r="C39" s="1896"/>
      <c r="D39" s="1896"/>
      <c r="E39" s="1896"/>
      <c r="F39" s="1896"/>
    </row>
    <row r="40" spans="1:11" s="1893" customFormat="1" ht="12" customHeight="1" x14ac:dyDescent="0.25">
      <c r="A40" s="1897" t="s">
        <v>1458</v>
      </c>
      <c r="B40" s="1898"/>
      <c r="C40" s="2442"/>
      <c r="D40" s="2442"/>
      <c r="E40" s="2442"/>
      <c r="F40" s="2443"/>
      <c r="H40" s="1902"/>
      <c r="I40" s="1902"/>
      <c r="J40" s="1902"/>
      <c r="K40" s="1902"/>
    </row>
    <row r="41" spans="1:11" s="1893" customFormat="1" ht="12" customHeight="1" x14ac:dyDescent="0.25">
      <c r="A41" s="2444" t="s">
        <v>2179</v>
      </c>
      <c r="B41" s="2445"/>
      <c r="C41" s="2445"/>
      <c r="D41" s="2445"/>
      <c r="E41" s="2445"/>
      <c r="F41" s="2446"/>
      <c r="H41" s="1902"/>
      <c r="I41" s="1902"/>
      <c r="J41" s="1902"/>
      <c r="K41" s="1902"/>
    </row>
    <row r="42" spans="1:11" s="1893" customFormat="1" ht="12" customHeight="1" x14ac:dyDescent="0.25">
      <c r="A42" s="2444"/>
      <c r="B42" s="2445"/>
      <c r="C42" s="2445"/>
      <c r="D42" s="2445"/>
      <c r="E42" s="2445"/>
      <c r="F42" s="2446"/>
      <c r="H42" s="1902"/>
      <c r="I42" s="1902"/>
      <c r="J42" s="1902"/>
      <c r="K42" s="1902"/>
    </row>
    <row r="43" spans="1:11" s="1893" customFormat="1" ht="15" x14ac:dyDescent="0.25">
      <c r="A43" s="2433"/>
      <c r="B43" s="2434"/>
      <c r="C43" s="2434"/>
      <c r="D43" s="2434"/>
      <c r="E43" s="2434"/>
      <c r="F43" s="2435"/>
      <c r="H43" s="1902"/>
      <c r="I43" s="1902"/>
      <c r="J43" s="1902"/>
      <c r="K43" s="1902"/>
    </row>
    <row r="44" spans="1:11" s="1893" customFormat="1" ht="12" hidden="1" customHeight="1" x14ac:dyDescent="0.25">
      <c r="A44" s="2433"/>
      <c r="B44" s="2434"/>
      <c r="C44" s="2434"/>
      <c r="D44" s="2434"/>
      <c r="E44" s="2434"/>
      <c r="F44" s="2435"/>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7" t="s">
        <v>693</v>
      </c>
      <c r="B6" s="1662"/>
      <c r="C6" s="1662"/>
      <c r="D6" s="1662"/>
      <c r="E6" s="1663"/>
      <c r="F6" s="1014"/>
      <c r="G6" s="1008"/>
      <c r="H6" s="1015" t="s">
        <v>1086</v>
      </c>
      <c r="I6" s="2460" t="str">
        <f>COVER!A17</f>
        <v>Henry-Stark County SpEd District</v>
      </c>
      <c r="J6" s="2461"/>
      <c r="Q6" s="1684"/>
    </row>
    <row r="7" spans="1:17" x14ac:dyDescent="0.2">
      <c r="A7" s="2462" t="s">
        <v>924</v>
      </c>
      <c r="B7" s="2463"/>
      <c r="C7" s="2463"/>
      <c r="D7" s="2463"/>
      <c r="E7" s="2464"/>
      <c r="F7" s="1016"/>
      <c r="G7" s="1008"/>
      <c r="H7" s="1015" t="s">
        <v>390</v>
      </c>
      <c r="I7" s="2465">
        <f>COVER!A13</f>
        <v>28037801060</v>
      </c>
      <c r="J7" s="2465"/>
    </row>
    <row r="8" spans="1:17" ht="8.25" customHeight="1" x14ac:dyDescent="0.2">
      <c r="A8" s="1664"/>
      <c r="B8" s="1665"/>
      <c r="C8" s="1665"/>
      <c r="D8" s="1665"/>
      <c r="E8" s="1666"/>
      <c r="F8" s="1017"/>
      <c r="G8" s="1018"/>
      <c r="H8" s="1018"/>
      <c r="I8" s="1018"/>
      <c r="J8" s="1018"/>
    </row>
    <row r="9" spans="1:17" ht="13.5" customHeight="1" x14ac:dyDescent="0.2">
      <c r="A9" s="1019"/>
      <c r="B9" s="1020"/>
      <c r="C9" s="1020"/>
      <c r="D9" s="1021"/>
      <c r="E9" s="1918" t="s">
        <v>1701</v>
      </c>
      <c r="F9" s="1022"/>
      <c r="G9" s="1022"/>
      <c r="H9" s="1919"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466" t="s">
        <v>502</v>
      </c>
      <c r="B11" s="2467"/>
      <c r="C11" s="2468"/>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2">
        <f>'Expenditures 15-22'!K50</f>
        <v>0</v>
      </c>
      <c r="F12" s="1038"/>
      <c r="G12" s="1832">
        <f t="shared" ref="G12:G18" si="0">SUM(E12:F12)</f>
        <v>0</v>
      </c>
      <c r="H12" s="1039"/>
      <c r="I12" s="1038"/>
      <c r="J12" s="1832">
        <f t="shared" ref="J12:J18" si="1">SUM(H12:I12)</f>
        <v>0</v>
      </c>
    </row>
    <row r="13" spans="1:17" ht="15" customHeight="1" x14ac:dyDescent="0.2">
      <c r="A13" s="1034">
        <v>2</v>
      </c>
      <c r="B13" s="1035" t="s">
        <v>44</v>
      </c>
      <c r="C13" s="1036"/>
      <c r="D13" s="1037">
        <v>2330</v>
      </c>
      <c r="E13" s="1832">
        <f>'Expenditures 15-22'!K51</f>
        <v>331363</v>
      </c>
      <c r="F13" s="1038"/>
      <c r="G13" s="1832">
        <f t="shared" si="0"/>
        <v>331363</v>
      </c>
      <c r="H13" s="1039"/>
      <c r="I13" s="1038"/>
      <c r="J13" s="1832">
        <f t="shared" si="1"/>
        <v>0</v>
      </c>
    </row>
    <row r="14" spans="1:17" ht="15" customHeight="1" x14ac:dyDescent="0.2">
      <c r="A14" s="1034">
        <v>3</v>
      </c>
      <c r="B14" s="1035" t="s">
        <v>45</v>
      </c>
      <c r="C14" s="1036"/>
      <c r="D14" s="1040">
        <v>2490</v>
      </c>
      <c r="E14" s="1832">
        <f>'Expenditures 15-22'!K56</f>
        <v>0</v>
      </c>
      <c r="F14" s="1038"/>
      <c r="G14" s="1832">
        <f t="shared" si="0"/>
        <v>0</v>
      </c>
      <c r="H14" s="1039"/>
      <c r="I14" s="1038"/>
      <c r="J14" s="1832">
        <f t="shared" si="1"/>
        <v>0</v>
      </c>
    </row>
    <row r="15" spans="1:17" ht="15" customHeight="1" x14ac:dyDescent="0.2">
      <c r="A15" s="1034">
        <v>4</v>
      </c>
      <c r="B15" s="1035" t="s">
        <v>1128</v>
      </c>
      <c r="C15" s="1036"/>
      <c r="D15" s="1037">
        <v>2510</v>
      </c>
      <c r="E15" s="1832">
        <f>'Expenditures 15-22'!K59</f>
        <v>0</v>
      </c>
      <c r="F15" s="1832">
        <f>'Expenditures 15-22'!K122</f>
        <v>0</v>
      </c>
      <c r="G15" s="1832">
        <f t="shared" si="0"/>
        <v>0</v>
      </c>
      <c r="H15" s="1039"/>
      <c r="I15" s="1039"/>
      <c r="J15" s="1832">
        <f t="shared" si="1"/>
        <v>0</v>
      </c>
    </row>
    <row r="16" spans="1:17" ht="15" customHeight="1" x14ac:dyDescent="0.2">
      <c r="A16" s="1034">
        <v>5</v>
      </c>
      <c r="B16" s="1035" t="s">
        <v>103</v>
      </c>
      <c r="C16" s="1036"/>
      <c r="D16" s="1037">
        <v>2570</v>
      </c>
      <c r="E16" s="1832">
        <f>'Expenditures 15-22'!K64</f>
        <v>0</v>
      </c>
      <c r="F16" s="1038"/>
      <c r="G16" s="1832">
        <f t="shared" si="0"/>
        <v>0</v>
      </c>
      <c r="H16" s="1039"/>
      <c r="I16" s="1038"/>
      <c r="J16" s="1832">
        <f t="shared" si="1"/>
        <v>0</v>
      </c>
    </row>
    <row r="17" spans="1:10" ht="15" customHeight="1" x14ac:dyDescent="0.2">
      <c r="A17" s="1034">
        <v>6</v>
      </c>
      <c r="B17" s="1035" t="s">
        <v>1120</v>
      </c>
      <c r="C17" s="1036"/>
      <c r="D17" s="1037">
        <v>2610</v>
      </c>
      <c r="E17" s="1832">
        <f>'Expenditures 15-22'!K67</f>
        <v>13171</v>
      </c>
      <c r="F17" s="1038"/>
      <c r="G17" s="1832">
        <f t="shared" si="0"/>
        <v>13171</v>
      </c>
      <c r="H17" s="1039"/>
      <c r="I17" s="1038"/>
      <c r="J17" s="1832">
        <f t="shared" si="1"/>
        <v>0</v>
      </c>
    </row>
    <row r="18" spans="1:10" ht="22.5" customHeight="1" x14ac:dyDescent="0.2">
      <c r="A18" s="1041">
        <v>7</v>
      </c>
      <c r="B18" s="2469" t="s">
        <v>7</v>
      </c>
      <c r="C18" s="2470"/>
      <c r="D18" s="2471"/>
      <c r="E18" s="1042"/>
      <c r="F18" s="1042"/>
      <c r="G18" s="1833">
        <f t="shared" si="0"/>
        <v>0</v>
      </c>
      <c r="H18" s="1039"/>
      <c r="I18" s="1039"/>
      <c r="J18" s="1832">
        <f t="shared" si="1"/>
        <v>0</v>
      </c>
    </row>
    <row r="19" spans="1:10" ht="12.75" customHeight="1" thickBot="1" x14ac:dyDescent="0.25">
      <c r="A19" s="1034">
        <v>8</v>
      </c>
      <c r="B19" s="1043" t="s">
        <v>1223</v>
      </c>
      <c r="D19" s="1044"/>
      <c r="E19" s="1834">
        <f t="shared" ref="E19:J19" si="2">SUM(E12:E17)-E18</f>
        <v>344534</v>
      </c>
      <c r="F19" s="1834">
        <f t="shared" si="2"/>
        <v>0</v>
      </c>
      <c r="G19" s="1834">
        <f t="shared" si="2"/>
        <v>344534</v>
      </c>
      <c r="H19" s="1834">
        <f t="shared" si="2"/>
        <v>0</v>
      </c>
      <c r="I19" s="1834">
        <f t="shared" si="2"/>
        <v>0</v>
      </c>
      <c r="J19" s="1834">
        <f t="shared" si="2"/>
        <v>0</v>
      </c>
    </row>
    <row r="20" spans="1:10" ht="13.5" thickTop="1" x14ac:dyDescent="0.2">
      <c r="A20" s="1034">
        <v>9</v>
      </c>
      <c r="B20" s="2472" t="s">
        <v>1703</v>
      </c>
      <c r="C20" s="2472"/>
      <c r="D20" s="2473"/>
      <c r="E20" s="1045"/>
      <c r="F20" s="1045"/>
      <c r="G20" s="1045"/>
      <c r="H20" s="1045"/>
      <c r="I20" s="1045"/>
      <c r="J20" s="1835" t="str">
        <f>IF(AND(G19&gt;0,J19&gt;0),(((J19-G19)/G19)),"Enter Budget Data")</f>
        <v>Enter Budget Data</v>
      </c>
    </row>
    <row r="21" spans="1:10" ht="9.1999999999999993"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478"/>
      <c r="D26" s="2478"/>
      <c r="E26" s="1049"/>
      <c r="F26" s="2477"/>
      <c r="G26" s="2477"/>
    </row>
    <row r="27" spans="1:10" x14ac:dyDescent="0.2">
      <c r="B27" s="1046"/>
      <c r="C27" s="1050" t="s">
        <v>1093</v>
      </c>
      <c r="D27" s="1051"/>
      <c r="E27" s="1052"/>
      <c r="F27" s="2474" t="s">
        <v>1589</v>
      </c>
      <c r="G27" s="2474"/>
    </row>
    <row r="28" spans="1:10" ht="28.5" customHeight="1" x14ac:dyDescent="0.2">
      <c r="B28" s="1046"/>
      <c r="C28" s="2476"/>
      <c r="D28" s="2476"/>
      <c r="E28" s="1053"/>
      <c r="F28" s="2476"/>
      <c r="G28" s="2476"/>
    </row>
    <row r="29" spans="1:10" x14ac:dyDescent="0.2">
      <c r="B29" s="1046"/>
      <c r="C29" s="1054" t="s">
        <v>1642</v>
      </c>
      <c r="E29" s="1055"/>
      <c r="F29" s="2475" t="s">
        <v>1590</v>
      </c>
      <c r="G29" s="2475"/>
    </row>
    <row r="30" spans="1:10" ht="9.1999999999999993" customHeight="1" x14ac:dyDescent="0.2">
      <c r="B30" s="1046"/>
      <c r="C30" s="1056"/>
      <c r="E30" s="1057"/>
      <c r="F30" s="1058"/>
      <c r="G30" s="1058"/>
    </row>
    <row r="31" spans="1:10" ht="15" customHeight="1" x14ac:dyDescent="0.2">
      <c r="A31" s="1010"/>
      <c r="B31" s="1059" t="s">
        <v>1094</v>
      </c>
    </row>
    <row r="32" spans="1:10" ht="9.1999999999999993" customHeight="1" x14ac:dyDescent="0.2">
      <c r="A32" s="1010"/>
      <c r="B32" s="1047"/>
    </row>
    <row r="33" spans="1:10" ht="12.75" customHeight="1" x14ac:dyDescent="0.2">
      <c r="A33" s="1010"/>
      <c r="B33" s="1060"/>
      <c r="C33" s="2457" t="s">
        <v>134</v>
      </c>
      <c r="D33" s="2458"/>
      <c r="E33" s="2458"/>
      <c r="F33" s="2458"/>
      <c r="G33" s="2458"/>
      <c r="H33" s="2458"/>
      <c r="I33" s="2458"/>
    </row>
    <row r="34" spans="1:10" ht="10.35" customHeight="1" x14ac:dyDescent="0.2">
      <c r="C34" s="2458"/>
      <c r="D34" s="2458"/>
      <c r="E34" s="2458"/>
      <c r="F34" s="2458"/>
      <c r="G34" s="2458"/>
      <c r="H34" s="2458"/>
      <c r="I34" s="2458"/>
    </row>
    <row r="35" spans="1:10" ht="7.5" customHeight="1" x14ac:dyDescent="0.2">
      <c r="C35" s="1061"/>
    </row>
    <row r="36" spans="1:10" ht="13.5" customHeight="1" x14ac:dyDescent="0.2">
      <c r="B36" s="1060"/>
      <c r="C36" s="2459" t="s">
        <v>1941</v>
      </c>
      <c r="D36" s="2458"/>
      <c r="E36" s="2458"/>
      <c r="F36" s="2458"/>
      <c r="G36" s="2458"/>
      <c r="H36" s="2458"/>
      <c r="I36" s="2458"/>
      <c r="J36" s="1062"/>
    </row>
    <row r="37" spans="1:10" ht="22.5" customHeight="1" x14ac:dyDescent="0.2">
      <c r="C37" s="2458"/>
      <c r="D37" s="2458"/>
      <c r="E37" s="2458"/>
      <c r="F37" s="2458"/>
      <c r="G37" s="2458"/>
      <c r="H37" s="2458"/>
      <c r="I37" s="2458"/>
      <c r="J37" s="1062"/>
    </row>
    <row r="38" spans="1:10" ht="7.5" customHeight="1" x14ac:dyDescent="0.2">
      <c r="C38" s="1061"/>
      <c r="D38" s="1063"/>
      <c r="E38" s="1064"/>
      <c r="F38" s="1065"/>
      <c r="G38" s="1064"/>
    </row>
    <row r="39" spans="1:10" ht="13.5" customHeight="1" x14ac:dyDescent="0.2">
      <c r="B39" s="1060"/>
      <c r="C39" s="2455" t="s">
        <v>937</v>
      </c>
      <c r="D39" s="2456"/>
      <c r="E39" s="2456"/>
      <c r="F39" s="2456"/>
      <c r="G39" s="2456"/>
      <c r="H39" s="2456"/>
      <c r="I39" s="2456"/>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2180</v>
      </c>
    </row>
    <row r="6" spans="1:2" x14ac:dyDescent="0.2">
      <c r="A6" s="1067"/>
    </row>
    <row r="7" spans="1:2" x14ac:dyDescent="0.2">
      <c r="A7" s="1067"/>
    </row>
    <row r="8" spans="1:2" x14ac:dyDescent="0.2">
      <c r="A8" s="1067"/>
    </row>
    <row r="9" spans="1:2" x14ac:dyDescent="0.2">
      <c r="A9" s="1068"/>
    </row>
    <row r="10" spans="1:2" x14ac:dyDescent="0.2">
      <c r="A10" s="1068"/>
    </row>
    <row r="11" spans="1:2" x14ac:dyDescent="0.2">
      <c r="A11" s="1068"/>
    </row>
    <row r="12" spans="1:2" x14ac:dyDescent="0.2">
      <c r="A12" s="1068"/>
    </row>
    <row r="13" spans="1:2" x14ac:dyDescent="0.2">
      <c r="A13" s="1068"/>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Henry-Stark County SpEd District</v>
      </c>
    </row>
    <row r="65" spans="2:2" x14ac:dyDescent="0.2">
      <c r="B65" s="1069">
        <f>COVER!A13</f>
        <v>28037801060</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2" customHeight="1" x14ac:dyDescent="0.2">
      <c r="A16" s="1072"/>
      <c r="B16" s="1072" t="s">
        <v>1783</v>
      </c>
    </row>
    <row r="17" spans="1:2" ht="6" customHeight="1" x14ac:dyDescent="0.2"/>
    <row r="18" spans="1:2" ht="24.75" customHeight="1" x14ac:dyDescent="0.2">
      <c r="A18" s="2479" t="s">
        <v>1784</v>
      </c>
      <c r="B18" s="2479"/>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4</xdr:col>
                <xdr:colOff>0</xdr:colOff>
                <xdr:row>1</xdr:row>
                <xdr:rowOff>0</xdr:rowOff>
              </from>
              <to>
                <xdr:col>5</xdr:col>
                <xdr:colOff>304800</xdr:colOff>
                <xdr:row>5</xdr:row>
                <xdr:rowOff>38100</xdr:rowOff>
              </to>
            </anchor>
          </objectPr>
        </oleObject>
      </mc:Choice>
      <mc:Fallback>
        <oleObject progId="Acrobat 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80" t="s">
        <v>1790</v>
      </c>
      <c r="B1" s="2481"/>
      <c r="C1" s="2481"/>
      <c r="D1" s="2481"/>
      <c r="E1" s="2481"/>
      <c r="F1" s="2482"/>
    </row>
    <row r="2" spans="1:8" ht="45.2" customHeight="1" x14ac:dyDescent="0.2">
      <c r="A2" s="2490" t="s">
        <v>1791</v>
      </c>
      <c r="B2" s="2491"/>
      <c r="C2" s="2491"/>
      <c r="D2" s="2491"/>
      <c r="E2" s="2491"/>
      <c r="F2" s="2492"/>
      <c r="G2" s="1073"/>
      <c r="H2" s="1073"/>
    </row>
    <row r="3" spans="1:8" ht="57" customHeight="1" x14ac:dyDescent="0.2">
      <c r="A3" s="2493" t="s">
        <v>1786</v>
      </c>
      <c r="B3" s="2494"/>
      <c r="C3" s="2494"/>
      <c r="D3" s="2494"/>
      <c r="E3" s="2494"/>
      <c r="F3" s="2495"/>
      <c r="G3" s="1073"/>
      <c r="H3" s="1073"/>
    </row>
    <row r="4" spans="1:8" ht="14.25" customHeight="1" x14ac:dyDescent="0.2">
      <c r="A4" s="2499" t="s">
        <v>2053</v>
      </c>
      <c r="B4" s="2500"/>
      <c r="C4" s="2500"/>
      <c r="D4" s="2500"/>
      <c r="E4" s="2500"/>
      <c r="F4" s="2501"/>
      <c r="G4" s="1073"/>
      <c r="H4" s="1073"/>
    </row>
    <row r="5" spans="1:8" ht="14.25" customHeight="1" x14ac:dyDescent="0.2">
      <c r="A5" s="2502" t="s">
        <v>2054</v>
      </c>
      <c r="B5" s="2503"/>
      <c r="C5" s="2503"/>
      <c r="D5" s="2503"/>
      <c r="E5" s="2503"/>
      <c r="F5" s="2504"/>
      <c r="G5" s="1073"/>
      <c r="H5" s="1073"/>
    </row>
    <row r="6" spans="1:8" s="1074" customFormat="1" ht="41.45" customHeight="1" x14ac:dyDescent="0.2">
      <c r="A6" s="2496" t="s">
        <v>1792</v>
      </c>
      <c r="B6" s="2497"/>
      <c r="C6" s="2497"/>
      <c r="D6" s="2497"/>
      <c r="E6" s="2497"/>
      <c r="F6" s="2498"/>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6">
        <f>'Acct Summary 7-8'!C8</f>
        <v>8156955</v>
      </c>
      <c r="C8" s="1836">
        <f>'Acct Summary 7-8'!D8</f>
        <v>0</v>
      </c>
      <c r="D8" s="1836">
        <f>'Acct Summary 7-8'!F8</f>
        <v>0</v>
      </c>
      <c r="E8" s="1836">
        <f>'Acct Summary 7-8'!I8</f>
        <v>0</v>
      </c>
      <c r="F8" s="1836">
        <f>SUM(B8:E8)</f>
        <v>8156955</v>
      </c>
    </row>
    <row r="9" spans="1:8" s="1078" customFormat="1" ht="14.25" customHeight="1" thickBot="1" x14ac:dyDescent="0.25">
      <c r="A9" s="1077" t="s">
        <v>1436</v>
      </c>
      <c r="B9" s="1837">
        <f>'Acct Summary 7-8'!C17</f>
        <v>7928166</v>
      </c>
      <c r="C9" s="1837">
        <f>'Acct Summary 7-8'!D17</f>
        <v>0</v>
      </c>
      <c r="D9" s="1837">
        <f>'Acct Summary 7-8'!F17</f>
        <v>0</v>
      </c>
      <c r="E9" s="1836"/>
      <c r="F9" s="1836">
        <f>SUM(B9:E9)</f>
        <v>7928166</v>
      </c>
    </row>
    <row r="10" spans="1:8" s="1078" customFormat="1" ht="14.25" thickTop="1" thickBot="1" x14ac:dyDescent="0.25">
      <c r="A10" s="1079" t="s">
        <v>1437</v>
      </c>
      <c r="B10" s="1838">
        <f>(B8-B9)</f>
        <v>228789</v>
      </c>
      <c r="C10" s="1838">
        <f>(C8-C9)</f>
        <v>0</v>
      </c>
      <c r="D10" s="1838">
        <f>(D8-D9)</f>
        <v>0</v>
      </c>
      <c r="E10" s="1837">
        <f>(E8-E9)</f>
        <v>0</v>
      </c>
      <c r="F10" s="1839">
        <f>SUM(F8-F9)</f>
        <v>228789</v>
      </c>
    </row>
    <row r="11" spans="1:8" s="1078" customFormat="1" ht="14.25" thickTop="1" thickBot="1" x14ac:dyDescent="0.25">
      <c r="A11" s="1080" t="s">
        <v>1785</v>
      </c>
      <c r="B11" s="1840">
        <f>'Acct Summary 7-8'!C81</f>
        <v>1001096</v>
      </c>
      <c r="C11" s="1840">
        <f>'Acct Summary 7-8'!D81</f>
        <v>0</v>
      </c>
      <c r="D11" s="1840">
        <f>'Acct Summary 7-8'!F81</f>
        <v>0</v>
      </c>
      <c r="E11" s="1840">
        <f>'Acct Summary 7-8'!I81</f>
        <v>0</v>
      </c>
      <c r="F11" s="1841">
        <f>SUM(B11:E11)</f>
        <v>1001096</v>
      </c>
    </row>
    <row r="12" spans="1:8" ht="16.5" customHeight="1" thickTop="1" x14ac:dyDescent="0.2">
      <c r="A12" s="1081"/>
      <c r="B12" s="1082"/>
      <c r="C12" s="2484" t="str">
        <f>IF(AND(F10&lt;0,F11&gt;=0,ABS(F10*3)&gt;ABS(F11)),A16,IF(AND(F10&lt;0,F11&gt;0,ABS(F10*3)&lt;=ABS(F11)),A17,IF(AND(F10&lt;0,F11&lt;0),A16,IF(F11=0,A19,A18))))</f>
        <v>Balanced - no deficit reduction plan is required.</v>
      </c>
      <c r="D12" s="2485"/>
      <c r="E12" s="2485"/>
      <c r="F12" s="2486"/>
    </row>
    <row r="13" spans="1:8" ht="19.7" customHeight="1" x14ac:dyDescent="0.2">
      <c r="A13" s="1083"/>
      <c r="B13" s="1084"/>
      <c r="C13" s="2484"/>
      <c r="D13" s="2485"/>
      <c r="E13" s="2485"/>
      <c r="F13" s="2486"/>
      <c r="H13" s="1073"/>
    </row>
    <row r="14" spans="1:8" ht="19.7" customHeight="1" x14ac:dyDescent="0.2">
      <c r="A14" s="1083"/>
      <c r="B14" s="1084"/>
      <c r="C14" s="2484"/>
      <c r="D14" s="2485"/>
      <c r="E14" s="2485"/>
      <c r="F14" s="2486"/>
      <c r="H14" s="1073"/>
    </row>
    <row r="15" spans="1:8" ht="17.25" customHeight="1" x14ac:dyDescent="0.2">
      <c r="A15" s="1083"/>
      <c r="B15" s="1084"/>
      <c r="C15" s="2487"/>
      <c r="D15" s="2488"/>
      <c r="E15" s="2488"/>
      <c r="F15" s="2489"/>
      <c r="H15" s="1073"/>
    </row>
    <row r="16" spans="1:8" s="310" customFormat="1" ht="51.95" hidden="1" customHeight="1" x14ac:dyDescent="0.2">
      <c r="A16" s="2483" t="s">
        <v>1787</v>
      </c>
      <c r="B16" s="2483"/>
      <c r="C16" s="2483"/>
      <c r="D16" s="2483"/>
      <c r="E16" s="2483"/>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20"/>
      <c r="B2" s="1921"/>
      <c r="C2" s="1922"/>
      <c r="D2" s="1923"/>
    </row>
    <row r="3" spans="1:4" ht="36" customHeight="1" x14ac:dyDescent="0.2">
      <c r="A3" s="2505" t="s">
        <v>686</v>
      </c>
      <c r="B3" s="2506"/>
      <c r="C3" s="2506"/>
      <c r="D3" s="2507"/>
    </row>
    <row r="4" spans="1:4" x14ac:dyDescent="0.2">
      <c r="A4" s="1151" t="s">
        <v>1793</v>
      </c>
      <c r="B4" s="1152"/>
      <c r="C4" s="1153"/>
      <c r="D4" s="1154"/>
    </row>
    <row r="5" spans="1:4" ht="21" customHeight="1" x14ac:dyDescent="0.2">
      <c r="A5" s="1147"/>
      <c r="B5" s="1148">
        <v>1</v>
      </c>
      <c r="C5" s="1149" t="s">
        <v>1943</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516" t="s">
        <v>1584</v>
      </c>
      <c r="D7" s="2517"/>
    </row>
    <row r="8" spans="1:4" s="667" customFormat="1" ht="12.75" x14ac:dyDescent="0.2">
      <c r="A8" s="1137"/>
      <c r="B8" s="1092"/>
      <c r="C8" s="1095" t="s">
        <v>1583</v>
      </c>
      <c r="D8" s="1096"/>
    </row>
    <row r="9" spans="1:4" s="667" customFormat="1" ht="14.25" customHeight="1" x14ac:dyDescent="0.2">
      <c r="A9" s="1137"/>
      <c r="B9" s="1092">
        <f>B7+1</f>
        <v>4</v>
      </c>
      <c r="C9" s="1093" t="s">
        <v>2046</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508" t="s">
        <v>1065</v>
      </c>
      <c r="B15" s="2509"/>
      <c r="C15" s="2509"/>
      <c r="D15" s="2510"/>
    </row>
    <row r="16" spans="1:4" s="667" customFormat="1" ht="24" customHeight="1" x14ac:dyDescent="0.2">
      <c r="A16" s="2511" t="s">
        <v>684</v>
      </c>
      <c r="B16" s="2512"/>
      <c r="C16" s="2512"/>
      <c r="D16" s="2513"/>
    </row>
    <row r="17" spans="1:10" s="667" customFormat="1" ht="12.75" customHeight="1" x14ac:dyDescent="0.2">
      <c r="A17" s="1155" t="s">
        <v>1794</v>
      </c>
      <c r="B17" s="1156"/>
      <c r="C17" s="1157"/>
      <c r="D17" s="1158"/>
    </row>
    <row r="18" spans="1:10" s="667"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520" t="s">
        <v>332</v>
      </c>
      <c r="D21" s="2521"/>
    </row>
    <row r="22" spans="1:10" ht="12.75" x14ac:dyDescent="0.2">
      <c r="A22" s="1138"/>
      <c r="B22" s="1139">
        <v>2</v>
      </c>
      <c r="C22" s="2518" t="s">
        <v>1605</v>
      </c>
      <c r="D22" s="2519"/>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NO FINDINGS WERE ISSUED</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75"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522" t="s">
        <v>557</v>
      </c>
      <c r="D43" s="2523"/>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514" t="s">
        <v>817</v>
      </c>
      <c r="D56" s="2515"/>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2047</v>
      </c>
      <c r="D66" s="1124"/>
    </row>
    <row r="67" spans="1:4" x14ac:dyDescent="0.2">
      <c r="A67" s="1118"/>
      <c r="B67" s="1139"/>
      <c r="C67" s="1146" t="s">
        <v>1079</v>
      </c>
      <c r="D67" s="1124"/>
    </row>
    <row r="68" spans="1:4" x14ac:dyDescent="0.2">
      <c r="A68" s="1099"/>
      <c r="B68" s="1109"/>
      <c r="C68" s="1101" t="s">
        <v>2048</v>
      </c>
      <c r="D68" s="1123" t="str">
        <f>IF('Short-Term Long-Term Debt 24'!F49=SUM(,'Acct Summary 7-8'!C33:K33),"OK","ERROR!")</f>
        <v>OK</v>
      </c>
    </row>
    <row r="69" spans="1:4" x14ac:dyDescent="0.2">
      <c r="A69" s="1099"/>
      <c r="B69" s="1109"/>
      <c r="C69" s="1101" t="s">
        <v>2049</v>
      </c>
      <c r="D69" s="1123" t="str">
        <f>IF('Expenditures 15-22'!H170&lt;&gt;'Short-Term Long-Term Debt 24'!H49,"ERROR!","OK")</f>
        <v>OK</v>
      </c>
    </row>
    <row r="70" spans="1:4" x14ac:dyDescent="0.2">
      <c r="A70" s="1097"/>
      <c r="B70" s="1119">
        <f>B66+1</f>
        <v>9</v>
      </c>
      <c r="C70" s="2514" t="s">
        <v>1797</v>
      </c>
      <c r="D70" s="2515"/>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2050</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2051</v>
      </c>
      <c r="D78" s="1123" t="str">
        <f>IF(ISNUMBER('Acct Summary 7-8'!C9),"OK","ENTRY IS REQUIRED!")</f>
        <v>OK</v>
      </c>
    </row>
    <row r="79" spans="1:4" x14ac:dyDescent="0.2">
      <c r="A79" s="1118"/>
      <c r="B79" s="1119">
        <f>B74+1+1</f>
        <v>12</v>
      </c>
      <c r="C79" s="1129" t="s">
        <v>2016</v>
      </c>
      <c r="D79" s="1130" t="str">
        <f>IF(OR(COVER!$B$6="X",'PCTC-OEPP 27-28'!F78&gt;0),"OK","PLEASE ENTER 9 MO ADA.")</f>
        <v>OK</v>
      </c>
    </row>
    <row r="80" spans="1:4" x14ac:dyDescent="0.2">
      <c r="A80" s="1097"/>
      <c r="B80" s="1119">
        <v>13</v>
      </c>
      <c r="C80" s="1129" t="s">
        <v>2052</v>
      </c>
      <c r="D80" s="1130" t="str">
        <f>IF('Contracts Paid in CY 29'!D141&gt;0,"OK","PLEASE ENTER CONTRACTS PAID IN CURRENT YEAR.")</f>
        <v>OK</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28037801060</v>
      </c>
    </row>
    <row r="3" spans="1:2" x14ac:dyDescent="0.2">
      <c r="A3" t="s">
        <v>1013</v>
      </c>
      <c r="B3" s="138" t="str">
        <f>COVER!A15</f>
        <v>Henry</v>
      </c>
    </row>
    <row r="4" spans="1:2" x14ac:dyDescent="0.2">
      <c r="A4" t="s">
        <v>1064</v>
      </c>
      <c r="B4" s="138" t="str">
        <f>COVER!A17</f>
        <v>Henry-Stark County SpEd District</v>
      </c>
    </row>
    <row r="5" spans="1:2" x14ac:dyDescent="0.2">
      <c r="A5" t="s">
        <v>728</v>
      </c>
      <c r="B5" s="138" t="str">
        <f>COVER!A38</f>
        <v>T. Gregory Wertheim</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Thomas R. Peffer, CPA</v>
      </c>
    </row>
    <row r="18" spans="1:2" x14ac:dyDescent="0.2">
      <c r="A18" t="s">
        <v>1212</v>
      </c>
      <c r="B18" s="138" t="str">
        <f>COVER!T17</f>
        <v>4200 N Knoxville Ave</v>
      </c>
    </row>
    <row r="19" spans="1:2" x14ac:dyDescent="0.2">
      <c r="A19" t="s">
        <v>941</v>
      </c>
      <c r="B19" s="138" t="str">
        <f>COVER!T25</f>
        <v>tpeffer@gorenzcpa.com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1001096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998982</v>
      </c>
      <c r="D92" s="2" t="str">
        <f t="shared" si="0"/>
        <v>Error?</v>
      </c>
    </row>
    <row r="93" spans="1:4" x14ac:dyDescent="0.2">
      <c r="A93" s="5">
        <v>32</v>
      </c>
      <c r="B93" s="138">
        <f>'Assets-Liab 5-6'!C41</f>
        <v>1001096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515570</v>
      </c>
      <c r="D274" s="2" t="str">
        <f t="shared" si="3"/>
        <v>Error?</v>
      </c>
    </row>
    <row r="275" spans="1:4" x14ac:dyDescent="0.2">
      <c r="A275" s="5">
        <v>214</v>
      </c>
      <c r="B275" s="138">
        <f>'Assets-Liab 5-6'!M18</f>
        <v>0</v>
      </c>
      <c r="D275" s="2" t="str">
        <f t="shared" si="3"/>
        <v>Error?</v>
      </c>
    </row>
    <row r="276" spans="1:4" x14ac:dyDescent="0.2">
      <c r="A276" s="5">
        <v>215</v>
      </c>
      <c r="B276" s="138">
        <f>'Assets-Liab 5-6'!M19</f>
        <v>60666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576236</v>
      </c>
      <c r="C279" s="2" t="s">
        <v>594</v>
      </c>
      <c r="D279" s="2" t="str">
        <f t="shared" si="3"/>
        <v>Error?</v>
      </c>
    </row>
    <row r="280" spans="1:4" x14ac:dyDescent="0.2">
      <c r="A280" s="5">
        <v>219</v>
      </c>
      <c r="B280" s="138">
        <f>'Assets-Liab 5-6'!M40</f>
        <v>576236</v>
      </c>
      <c r="D280" s="2" t="str">
        <f t="shared" si="3"/>
        <v>Error?</v>
      </c>
    </row>
    <row r="281" spans="1:4" x14ac:dyDescent="0.2">
      <c r="A281" s="5">
        <v>220</v>
      </c>
      <c r="B281" s="138">
        <f>'Assets-Liab 5-6'!M41</f>
        <v>576236</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3379886</v>
      </c>
      <c r="C720" s="2" t="s">
        <v>594</v>
      </c>
      <c r="D720" s="2" t="str">
        <f t="shared" si="10"/>
        <v>Error?</v>
      </c>
    </row>
    <row r="721" spans="1:4" x14ac:dyDescent="0.2">
      <c r="A721" s="5">
        <v>660</v>
      </c>
      <c r="B721" s="138">
        <f>'Expenditures 15-22'!C36</f>
        <v>488302</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492658</v>
      </c>
      <c r="D724" s="2" t="str">
        <f t="shared" si="10"/>
        <v>Error?</v>
      </c>
    </row>
    <row r="725" spans="1:4" x14ac:dyDescent="0.2">
      <c r="A725" s="5">
        <v>664</v>
      </c>
      <c r="B725" s="138">
        <f>'Expenditures 15-22'!C40</f>
        <v>534895</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1515855</v>
      </c>
      <c r="C727" s="2" t="s">
        <v>594</v>
      </c>
      <c r="D727" s="2" t="str">
        <f t="shared" si="10"/>
        <v>Error?</v>
      </c>
    </row>
    <row r="728" spans="1:4" x14ac:dyDescent="0.2">
      <c r="A728" s="5">
        <v>667</v>
      </c>
      <c r="B728" s="138">
        <f>'Expenditures 15-22'!C44</f>
        <v>521524</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521524</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170154</v>
      </c>
      <c r="C734" s="2" t="s">
        <v>594</v>
      </c>
      <c r="D734" s="2" t="str">
        <f t="shared" si="10"/>
        <v>Error?</v>
      </c>
    </row>
    <row r="735" spans="1:4" x14ac:dyDescent="0.2">
      <c r="A735" s="5">
        <v>674</v>
      </c>
      <c r="B735" s="138">
        <f>'Expenditures 15-22'!C55</f>
        <v>84757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84757</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35390</v>
      </c>
      <c r="D739" s="2" t="str">
        <f t="shared" si="10"/>
        <v>Error?</v>
      </c>
    </row>
    <row r="740" spans="1:4" x14ac:dyDescent="0.2">
      <c r="A740" s="5">
        <v>679</v>
      </c>
      <c r="B740" s="138">
        <f>'Expenditures 15-22'!C61</f>
        <v>15558</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50948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2343238</v>
      </c>
      <c r="C755" s="2" t="s">
        <v>594</v>
      </c>
      <c r="D755" s="2" t="str">
        <f t="shared" si="10"/>
        <v>Error?</v>
      </c>
    </row>
    <row r="756" spans="1:4" x14ac:dyDescent="0.2">
      <c r="A756" s="5">
        <v>695</v>
      </c>
      <c r="B756" s="138">
        <f>'Expenditures 15-22'!C75</f>
        <v>20315</v>
      </c>
      <c r="D756" s="2" t="str">
        <f t="shared" si="10"/>
        <v>Error?</v>
      </c>
    </row>
    <row r="757" spans="1:4" x14ac:dyDescent="0.2">
      <c r="A757" s="5">
        <v>696</v>
      </c>
      <c r="B757" s="138">
        <f>'Expenditures 15-22'!C114</f>
        <v>5743439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748451</v>
      </c>
      <c r="C778" s="2" t="s">
        <v>594</v>
      </c>
      <c r="D778" s="2" t="str">
        <f t="shared" si="11"/>
        <v>Error?</v>
      </c>
    </row>
    <row r="779" spans="1:4" x14ac:dyDescent="0.2">
      <c r="A779" s="5">
        <v>718</v>
      </c>
      <c r="B779" s="138">
        <f>'Expenditures 15-22'!D36</f>
        <v>79400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78134</v>
      </c>
      <c r="D782" s="2" t="str">
        <f t="shared" si="11"/>
        <v>Error?</v>
      </c>
    </row>
    <row r="783" spans="1:4" x14ac:dyDescent="0.2">
      <c r="A783" s="5">
        <v>722</v>
      </c>
      <c r="B783" s="138">
        <f>'Expenditures 15-22'!D40</f>
        <v>94241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251775</v>
      </c>
      <c r="C785" s="2" t="s">
        <v>594</v>
      </c>
      <c r="D785" s="2" t="str">
        <f t="shared" si="11"/>
        <v>Error?</v>
      </c>
    </row>
    <row r="786" spans="1:4" x14ac:dyDescent="0.2">
      <c r="A786" s="5">
        <v>725</v>
      </c>
      <c r="B786" s="138">
        <f>'Expenditures 15-22'!D44</f>
        <v>209078</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209078</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76078</v>
      </c>
      <c r="C792" s="2" t="s">
        <v>594</v>
      </c>
      <c r="D792" s="2" t="str">
        <f t="shared" si="11"/>
        <v>Error?</v>
      </c>
    </row>
    <row r="793" spans="1:4" x14ac:dyDescent="0.2">
      <c r="A793" s="5">
        <v>732</v>
      </c>
      <c r="B793" s="138">
        <f>'Expenditures 15-22'!D55</f>
        <v>19827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19827</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9979</v>
      </c>
      <c r="D797" s="2" t="str">
        <f t="shared" si="11"/>
        <v>Error?</v>
      </c>
    </row>
    <row r="798" spans="1:4" x14ac:dyDescent="0.2">
      <c r="A798" s="5">
        <v>737</v>
      </c>
      <c r="B798" s="138">
        <f>'Expenditures 15-22'!D61</f>
        <v>2249</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12228</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568986</v>
      </c>
      <c r="C813" s="2" t="s">
        <v>594</v>
      </c>
      <c r="D813" s="2" t="str">
        <f t="shared" si="11"/>
        <v>Error?</v>
      </c>
    </row>
    <row r="814" spans="1:4" x14ac:dyDescent="0.2">
      <c r="A814" s="5">
        <v>753</v>
      </c>
      <c r="B814" s="138">
        <f>'Expenditures 15-22'!D75</f>
        <v>2959</v>
      </c>
      <c r="D814" s="2" t="str">
        <f t="shared" si="11"/>
        <v>Error?</v>
      </c>
    </row>
    <row r="815" spans="1:4" x14ac:dyDescent="0.2">
      <c r="A815" s="5">
        <v>754</v>
      </c>
      <c r="B815" s="138">
        <f>'Expenditures 15-22'!D114</f>
        <v>1320396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108061</v>
      </c>
      <c r="C836" s="2" t="s">
        <v>594</v>
      </c>
      <c r="D836" s="2" t="str">
        <f t="shared" si="12"/>
        <v>Error?</v>
      </c>
    </row>
    <row r="837" spans="1:4" x14ac:dyDescent="0.2">
      <c r="A837" s="5">
        <v>776</v>
      </c>
      <c r="B837" s="138">
        <f>'Expenditures 15-22'!E36</f>
        <v>609</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161047</v>
      </c>
      <c r="D839" s="2" t="str">
        <f t="shared" si="12"/>
        <v>Error?</v>
      </c>
    </row>
    <row r="840" spans="1:4" x14ac:dyDescent="0.2">
      <c r="A840" s="5">
        <v>779</v>
      </c>
      <c r="B840" s="138">
        <f>'Expenditures 15-22'!E39</f>
        <v>5924</v>
      </c>
      <c r="D840" s="2" t="str">
        <f t="shared" si="12"/>
        <v>Error?</v>
      </c>
    </row>
    <row r="841" spans="1:4" x14ac:dyDescent="0.2">
      <c r="A841" s="5">
        <v>780</v>
      </c>
      <c r="B841" s="138">
        <f>'Expenditures 15-22'!E40</f>
        <v>1098</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168678</v>
      </c>
      <c r="C843" s="2" t="s">
        <v>594</v>
      </c>
      <c r="D843" s="2" t="str">
        <f t="shared" si="12"/>
        <v>Error?</v>
      </c>
    </row>
    <row r="844" spans="1:4" x14ac:dyDescent="0.2">
      <c r="A844" s="5">
        <v>783</v>
      </c>
      <c r="B844" s="138">
        <f>'Expenditures 15-22'!E44</f>
        <v>60119</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60119</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47290</v>
      </c>
      <c r="C850" s="2" t="s">
        <v>594</v>
      </c>
      <c r="D850" s="2" t="str">
        <f t="shared" si="12"/>
        <v>Error?</v>
      </c>
    </row>
    <row r="851" spans="1:4" x14ac:dyDescent="0.2">
      <c r="A851" s="5">
        <v>790</v>
      </c>
      <c r="B851" s="138">
        <f>'Expenditures 15-22'!E55</f>
        <v>1500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1500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5001</v>
      </c>
      <c r="D855" s="2" t="str">
        <f t="shared" si="12"/>
        <v>Error?</v>
      </c>
    </row>
    <row r="856" spans="1:4" x14ac:dyDescent="0.2">
      <c r="A856" s="5">
        <v>795</v>
      </c>
      <c r="B856" s="138">
        <f>'Expenditures 15-22'!E61</f>
        <v>50091</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62682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117774</v>
      </c>
      <c r="C861" s="2" t="s">
        <v>594</v>
      </c>
      <c r="D861" s="2" t="str">
        <f t="shared" si="12"/>
        <v>Error?</v>
      </c>
    </row>
    <row r="862" spans="1:4" x14ac:dyDescent="0.2">
      <c r="A862" s="5">
        <v>801</v>
      </c>
      <c r="B862" s="138">
        <f>'Expenditures 15-22'!E67</f>
        <v>13171</v>
      </c>
      <c r="D862" s="2" t="str">
        <f t="shared" si="12"/>
        <v>Error?</v>
      </c>
    </row>
    <row r="863" spans="1:4" x14ac:dyDescent="0.2">
      <c r="A863" s="5">
        <v>802</v>
      </c>
      <c r="B863" s="138">
        <f>'Expenditures 15-22'!E68</f>
        <v>0</v>
      </c>
      <c r="D863" s="2" t="str">
        <f t="shared" si="12"/>
        <v>Error?</v>
      </c>
    </row>
    <row r="864" spans="1:4" x14ac:dyDescent="0.2">
      <c r="A864" s="5">
        <v>803</v>
      </c>
      <c r="B864" s="138">
        <f>'Expenditures 15-22'!E69</f>
        <v>2930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16101</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411462</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519523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61631</v>
      </c>
      <c r="C894" s="2" t="s">
        <v>594</v>
      </c>
      <c r="D894" s="2" t="str">
        <f t="shared" si="12"/>
        <v>Error?</v>
      </c>
    </row>
    <row r="895" spans="1:4" x14ac:dyDescent="0.2">
      <c r="A895" s="5">
        <v>834</v>
      </c>
      <c r="B895" s="138">
        <f>'Expenditures 15-22'!F36</f>
        <v>393</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459</v>
      </c>
      <c r="D897" s="2" t="str">
        <f t="shared" si="13"/>
        <v>Error?</v>
      </c>
    </row>
    <row r="898" spans="1:4" x14ac:dyDescent="0.2">
      <c r="A898" s="5">
        <v>837</v>
      </c>
      <c r="B898" s="138">
        <f>'Expenditures 15-22'!F39</f>
        <v>10573</v>
      </c>
      <c r="D898" s="2" t="str">
        <f t="shared" si="13"/>
        <v>Error?</v>
      </c>
    </row>
    <row r="899" spans="1:4" x14ac:dyDescent="0.2">
      <c r="A899" s="5">
        <v>838</v>
      </c>
      <c r="B899" s="138">
        <f>'Expenditures 15-22'!F40</f>
        <v>2056</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13481</v>
      </c>
      <c r="C901" s="2" t="s">
        <v>594</v>
      </c>
      <c r="D901" s="2" t="str">
        <f t="shared" si="13"/>
        <v>Error?</v>
      </c>
    </row>
    <row r="902" spans="1:4" x14ac:dyDescent="0.2">
      <c r="A902" s="5">
        <v>841</v>
      </c>
      <c r="B902" s="138">
        <f>'Expenditures 15-22'!F44</f>
        <v>1885</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1885</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17297</v>
      </c>
      <c r="C908" s="2" t="s">
        <v>594</v>
      </c>
      <c r="D908" s="2" t="str">
        <f t="shared" si="13"/>
        <v>Error?</v>
      </c>
    </row>
    <row r="909" spans="1:4" x14ac:dyDescent="0.2">
      <c r="A909" s="5">
        <v>848</v>
      </c>
      <c r="B909" s="138">
        <f>'Expenditures 15-22'!F55</f>
        <v>33777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33777</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304</v>
      </c>
      <c r="D913" s="2" t="str">
        <f t="shared" si="13"/>
        <v>Error?</v>
      </c>
    </row>
    <row r="914" spans="1:4" x14ac:dyDescent="0.2">
      <c r="A914" s="5">
        <v>853</v>
      </c>
      <c r="B914" s="138">
        <f>'Expenditures 15-22'!F61</f>
        <v>6428</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6732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548</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548</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73720</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135351</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1530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199</v>
      </c>
      <c r="D1014" s="2" t="str">
        <f t="shared" si="14"/>
        <v>Error?</v>
      </c>
    </row>
    <row r="1015" spans="1:4" x14ac:dyDescent="0.2">
      <c r="A1015" s="5">
        <v>954</v>
      </c>
      <c r="B1015" s="138">
        <f>'Expenditures 15-22'!H40</f>
        <v>1636</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1835</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20544</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9126</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9126</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31505</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130289</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163324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4337762</v>
      </c>
      <c r="C1108" s="2" t="s">
        <v>594</v>
      </c>
      <c r="D1108" s="2" t="str">
        <f t="shared" si="16"/>
        <v>Error?</v>
      </c>
    </row>
    <row r="1109" spans="1:4" x14ac:dyDescent="0.2">
      <c r="A1109" s="5">
        <v>1048</v>
      </c>
      <c r="B1109" s="138">
        <f>'Expenditures 15-22'!K36</f>
        <v>568704</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161506</v>
      </c>
      <c r="C1111" s="2" t="s">
        <v>594</v>
      </c>
      <c r="D1111" s="2" t="str">
        <f t="shared" si="16"/>
        <v>Error?</v>
      </c>
    </row>
    <row r="1112" spans="1:4" x14ac:dyDescent="0.2">
      <c r="A1112" s="5">
        <v>1051</v>
      </c>
      <c r="B1112" s="138">
        <f>'Expenditures 15-22'!K39</f>
        <v>592331</v>
      </c>
      <c r="C1112" s="2" t="s">
        <v>594</v>
      </c>
      <c r="D1112" s="2" t="str">
        <f t="shared" si="16"/>
        <v>Error?</v>
      </c>
    </row>
    <row r="1113" spans="1:4" x14ac:dyDescent="0.2">
      <c r="A1113" s="5">
        <v>1052</v>
      </c>
      <c r="B1113" s="138">
        <f>'Expenditures 15-22'!K40</f>
        <v>633926</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1956467</v>
      </c>
      <c r="C1115" s="2" t="s">
        <v>594</v>
      </c>
      <c r="D1115" s="2" t="str">
        <f t="shared" si="16"/>
        <v>Error?</v>
      </c>
    </row>
    <row r="1116" spans="1:4" x14ac:dyDescent="0.2">
      <c r="A1116" s="5">
        <v>1055</v>
      </c>
      <c r="B1116" s="138">
        <f>'Expenditures 15-22'!K44</f>
        <v>795693</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795693</v>
      </c>
      <c r="C1119" s="2" t="s">
        <v>594</v>
      </c>
      <c r="D1119" s="2" t="str">
        <f t="shared" si="16"/>
        <v>Error?</v>
      </c>
    </row>
    <row r="1120" spans="1:4" x14ac:dyDescent="0.2">
      <c r="A1120" s="5">
        <v>1059</v>
      </c>
      <c r="B1120" s="138">
        <f>'Expenditures 15-22'!K49</f>
        <v>0</v>
      </c>
      <c r="C1120" s="2" t="s">
        <v>594</v>
      </c>
      <c r="D1120" s="2" t="str">
        <f t="shared" si="16"/>
        <v>Error?</v>
      </c>
    </row>
    <row r="1121" spans="1:4" x14ac:dyDescent="0.2">
      <c r="A1121" s="5">
        <v>1060</v>
      </c>
      <c r="B1121" s="138">
        <f>'Expenditures 15-22'!K50</f>
        <v>0</v>
      </c>
      <c r="C1121" s="2" t="s">
        <v>594</v>
      </c>
      <c r="D1121" s="2" t="str">
        <f t="shared" si="16"/>
        <v>Error?</v>
      </c>
    </row>
    <row r="1122" spans="1:4" x14ac:dyDescent="0.2">
      <c r="A1122" s="5">
        <v>1061</v>
      </c>
      <c r="B1122" s="138">
        <f>'Expenditures 15-22'!K53</f>
        <v>331363</v>
      </c>
      <c r="C1122" s="2" t="s">
        <v>594</v>
      </c>
      <c r="D1122" s="2" t="str">
        <f t="shared" si="16"/>
        <v>Error?</v>
      </c>
    </row>
    <row r="1123" spans="1:4" x14ac:dyDescent="0.2">
      <c r="A1123" s="5">
        <v>1062</v>
      </c>
      <c r="B1123" s="138">
        <f>'Expenditures 15-22'!K55</f>
        <v>139861</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139861</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59800</v>
      </c>
      <c r="C1127" s="2" t="s">
        <v>594</v>
      </c>
      <c r="D1127" s="2" t="str">
        <f t="shared" si="16"/>
        <v>Error?</v>
      </c>
    </row>
    <row r="1128" spans="1:4" x14ac:dyDescent="0.2">
      <c r="A1128" s="5">
        <v>1067</v>
      </c>
      <c r="B1128" s="138">
        <f>'Expenditures 15-22'!K61</f>
        <v>74326</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62682</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196808</v>
      </c>
      <c r="C1133" s="2" t="s">
        <v>594</v>
      </c>
      <c r="D1133" s="2" t="str">
        <f t="shared" si="16"/>
        <v>Error?</v>
      </c>
    </row>
    <row r="1134" spans="1:4" x14ac:dyDescent="0.2">
      <c r="A1134" s="5">
        <v>1073</v>
      </c>
      <c r="B1134" s="138">
        <f>'Expenditures 15-22'!K67</f>
        <v>13171</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3478</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16649</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3436841</v>
      </c>
      <c r="C1143" s="2" t="s">
        <v>594</v>
      </c>
      <c r="D1143" s="2" t="str">
        <f t="shared" si="16"/>
        <v>Error?</v>
      </c>
    </row>
    <row r="1144" spans="1:4" x14ac:dyDescent="0.2">
      <c r="A1144" s="5">
        <v>1083</v>
      </c>
      <c r="B1144" s="138">
        <f>'Expenditures 15-22'!K75</f>
        <v>23274</v>
      </c>
      <c r="C1144" s="2" t="s">
        <v>594</v>
      </c>
      <c r="D1144" s="2" t="str">
        <f t="shared" si="16"/>
        <v>Error?</v>
      </c>
    </row>
    <row r="1145" spans="1:4" x14ac:dyDescent="0.2">
      <c r="A1145" s="5">
        <v>1084</v>
      </c>
      <c r="B1145" s="138">
        <f>'Expenditures 15-22'!K102</f>
        <v>130289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7928166</v>
      </c>
      <c r="C1152" s="2" t="s">
        <v>594</v>
      </c>
      <c r="D1152" s="2" t="str">
        <f t="shared" si="17"/>
        <v>Error?</v>
      </c>
    </row>
    <row r="1153" spans="1:4" x14ac:dyDescent="0.2">
      <c r="A1153" s="5">
        <v>1092</v>
      </c>
      <c r="B1153" s="138">
        <f>'Expenditures 15-22'!K115</f>
        <v>228789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772307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1001096</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515570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74086</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589656</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13420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13420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515570</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60666</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576236</v>
      </c>
      <c r="C2031" s="2" t="s">
        <v>594</v>
      </c>
      <c r="D2031" s="2" t="str">
        <f t="shared" si="30"/>
        <v>Error?</v>
      </c>
    </row>
    <row r="2032" spans="1:4" x14ac:dyDescent="0.2">
      <c r="A2032" s="10">
        <v>1971</v>
      </c>
      <c r="D2032" s="2" t="str">
        <f t="shared" si="30"/>
        <v>OK</v>
      </c>
    </row>
    <row r="2033" spans="1:4" x14ac:dyDescent="0.2">
      <c r="A2033" s="5">
        <v>1972</v>
      </c>
      <c r="B2033" s="138">
        <f>'Cap Outlay Deprec 26'!H8</f>
        <v>134944</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53979</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188923</v>
      </c>
      <c r="C2037" s="2" t="s">
        <v>594</v>
      </c>
      <c r="D2037" s="2" t="str">
        <f t="shared" si="30"/>
        <v>Error?</v>
      </c>
    </row>
    <row r="2038" spans="1:4" x14ac:dyDescent="0.2">
      <c r="A2038" s="10">
        <v>1977</v>
      </c>
      <c r="D2038" s="2" t="str">
        <f t="shared" si="30"/>
        <v>OK</v>
      </c>
    </row>
    <row r="2039" spans="1:4" x14ac:dyDescent="0.2">
      <c r="A2039" s="5">
        <v>1978</v>
      </c>
      <c r="B2039" s="138">
        <f>'Cap Outlay Deprec 26'!I8</f>
        <v>10311</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6067</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16378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13420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13420</v>
      </c>
      <c r="C2049" s="2" t="s">
        <v>594</v>
      </c>
      <c r="D2049" s="2" t="str">
        <f t="shared" si="31"/>
        <v>Error?</v>
      </c>
    </row>
    <row r="2050" spans="1:4" x14ac:dyDescent="0.2">
      <c r="A2050" s="10">
        <v>1989</v>
      </c>
      <c r="D2050" s="2" t="str">
        <f t="shared" si="31"/>
        <v>OK</v>
      </c>
    </row>
    <row r="2051" spans="1:4" x14ac:dyDescent="0.2">
      <c r="A2051" s="5">
        <v>1990</v>
      </c>
      <c r="B2051" s="138">
        <f>'Cap Outlay Deprec 26'!K8</f>
        <v>145255</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46626</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191881</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370315</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14040</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384355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130289</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130289</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2114</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5008890</v>
      </c>
      <c r="C2551" s="2" t="s">
        <v>594</v>
      </c>
      <c r="D2551" s="2" t="str">
        <f t="shared" si="38"/>
        <v>Error?</v>
      </c>
    </row>
    <row r="2552" spans="1:4" x14ac:dyDescent="0.2">
      <c r="A2552" s="10">
        <v>2491</v>
      </c>
      <c r="D2552" s="2" t="str">
        <f t="shared" si="38"/>
        <v>OK</v>
      </c>
    </row>
    <row r="2553" spans="1:4" x14ac:dyDescent="0.2">
      <c r="A2553" s="5">
        <v>2492</v>
      </c>
      <c r="B2553" s="138">
        <f>'Acct Summary 7-8'!C6</f>
        <v>1392132</v>
      </c>
      <c r="C2553" s="2" t="s">
        <v>594</v>
      </c>
      <c r="D2553" s="2" t="str">
        <f t="shared" si="38"/>
        <v>Error?</v>
      </c>
    </row>
    <row r="2554" spans="1:4" x14ac:dyDescent="0.2">
      <c r="A2554" s="5">
        <v>2493</v>
      </c>
      <c r="B2554" s="138">
        <f>'Acct Summary 7-8'!C7</f>
        <v>1755933</v>
      </c>
      <c r="C2554" s="2" t="s">
        <v>594</v>
      </c>
      <c r="D2554" s="2" t="str">
        <f t="shared" si="38"/>
        <v>Error?</v>
      </c>
    </row>
    <row r="2555" spans="1:4" x14ac:dyDescent="0.2">
      <c r="A2555" s="5">
        <v>2494</v>
      </c>
      <c r="B2555" s="138">
        <f>'Acct Summary 7-8'!C8</f>
        <v>8156955</v>
      </c>
      <c r="C2555" s="2" t="s">
        <v>594</v>
      </c>
      <c r="D2555" s="2" t="str">
        <f t="shared" si="38"/>
        <v>Error?</v>
      </c>
    </row>
    <row r="2556" spans="1:4" x14ac:dyDescent="0.2">
      <c r="A2556" s="5">
        <v>2495</v>
      </c>
      <c r="B2556" s="138">
        <f>'Acct Summary 7-8'!C12</f>
        <v>4337762</v>
      </c>
      <c r="C2556" s="2" t="s">
        <v>594</v>
      </c>
      <c r="D2556" s="2" t="str">
        <f t="shared" si="38"/>
        <v>Error?</v>
      </c>
    </row>
    <row r="2557" spans="1:4" x14ac:dyDescent="0.2">
      <c r="A2557" s="5">
        <v>2496</v>
      </c>
      <c r="B2557" s="138">
        <f>'Acct Summary 7-8'!C13</f>
        <v>3436841</v>
      </c>
      <c r="C2557" s="2" t="s">
        <v>594</v>
      </c>
      <c r="D2557" s="2" t="str">
        <f t="shared" si="38"/>
        <v>Error?</v>
      </c>
    </row>
    <row r="2558" spans="1:4" x14ac:dyDescent="0.2">
      <c r="A2558" s="5">
        <v>2497</v>
      </c>
      <c r="B2558" s="138">
        <f>'Acct Summary 7-8'!C14</f>
        <v>23274</v>
      </c>
      <c r="C2558" s="2" t="s">
        <v>594</v>
      </c>
      <c r="D2558" s="2" t="str">
        <f t="shared" si="38"/>
        <v>Error?</v>
      </c>
    </row>
    <row r="2559" spans="1:4" x14ac:dyDescent="0.2">
      <c r="A2559" s="5">
        <v>2498</v>
      </c>
      <c r="B2559" s="138">
        <f>'Acct Summary 7-8'!C15</f>
        <v>130289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7928166</v>
      </c>
      <c r="C2561" s="2" t="s">
        <v>594</v>
      </c>
      <c r="D2561" s="2" t="str">
        <f t="shared" si="39"/>
        <v>Error?</v>
      </c>
    </row>
    <row r="2562" spans="1:4" x14ac:dyDescent="0.2">
      <c r="A2562" s="5">
        <v>2501</v>
      </c>
      <c r="B2562" s="138">
        <f>'Acct Summary 7-8'!C20</f>
        <v>228789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170154</v>
      </c>
      <c r="D2718" s="2" t="str">
        <f t="shared" si="41"/>
        <v>Error?</v>
      </c>
    </row>
    <row r="2719" spans="1:4" x14ac:dyDescent="0.2">
      <c r="A2719" s="5">
        <v>2658</v>
      </c>
      <c r="B2719" s="138">
        <f>'Expenditures 15-22'!D51</f>
        <v>76078</v>
      </c>
      <c r="D2719" s="2" t="str">
        <f t="shared" si="41"/>
        <v>Error?</v>
      </c>
    </row>
    <row r="2720" spans="1:4" x14ac:dyDescent="0.2">
      <c r="A2720" s="5">
        <v>2659</v>
      </c>
      <c r="B2720" s="138">
        <f>'Expenditures 15-22'!E51</f>
        <v>47290</v>
      </c>
      <c r="D2720" s="2" t="str">
        <f t="shared" si="41"/>
        <v>Error?</v>
      </c>
    </row>
    <row r="2721" spans="1:4" x14ac:dyDescent="0.2">
      <c r="A2721" s="5">
        <v>2660</v>
      </c>
      <c r="B2721" s="138">
        <f>'Expenditures 15-22'!F51</f>
        <v>17297</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20544</v>
      </c>
      <c r="D2723" s="2" t="str">
        <f t="shared" si="41"/>
        <v>Error?</v>
      </c>
    </row>
    <row r="2724" spans="1:4" x14ac:dyDescent="0.2">
      <c r="A2724" s="5">
        <v>2663</v>
      </c>
      <c r="B2724" s="138">
        <f>'Expenditures 15-22'!K51</f>
        <v>331363</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32132</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4534</v>
      </c>
      <c r="D2914" s="2" t="str">
        <f t="shared" si="44"/>
        <v>Error?</v>
      </c>
    </row>
    <row r="2915" spans="1:4" x14ac:dyDescent="0.2">
      <c r="A2915" s="10">
        <v>2854</v>
      </c>
      <c r="D2915" s="2" t="str">
        <f t="shared" si="44"/>
        <v>OK</v>
      </c>
    </row>
    <row r="2916" spans="1:4" x14ac:dyDescent="0.2">
      <c r="A2916" s="5">
        <v>2855</v>
      </c>
      <c r="B2916" s="138">
        <f>'Assets-Liab 5-6'!L34</f>
        <v>4534</v>
      </c>
      <c r="C2916" s="2" t="s">
        <v>594</v>
      </c>
      <c r="D2916" s="2" t="str">
        <f t="shared" si="44"/>
        <v>Error?</v>
      </c>
    </row>
    <row r="2917" spans="1:4" x14ac:dyDescent="0.2">
      <c r="A2917" s="5">
        <v>2856</v>
      </c>
      <c r="B2917" s="138">
        <f>'Assets-Liab 5-6'!L41</f>
        <v>32132</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130289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130289</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27598</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228789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3035385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677564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108061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59526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1530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3908665</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986074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32132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3496395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11653350</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3496395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11424561</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1001096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74042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93070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390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4950766</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4950766</v>
      </c>
      <c r="C5087" s="2" t="s">
        <v>594</v>
      </c>
      <c r="D5087" s="2" t="str">
        <f t="shared" si="78"/>
        <v>Error?</v>
      </c>
    </row>
    <row r="5088" spans="1:4" x14ac:dyDescent="0.2">
      <c r="A5088" s="5">
        <v>5027</v>
      </c>
      <c r="B5088" s="138">
        <f>'Revenues 9-14'!C65</f>
        <v>4023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4023</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53711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54101</v>
      </c>
      <c r="C5120" s="2" t="s">
        <v>594</v>
      </c>
      <c r="D5120" s="2" t="str">
        <f t="shared" si="79"/>
        <v>Error?</v>
      </c>
    </row>
    <row r="5121" spans="1:4" x14ac:dyDescent="0.2">
      <c r="A5121" s="5">
        <v>5060</v>
      </c>
      <c r="B5121" s="138">
        <f>'Revenues 9-14'!C109</f>
        <v>5008890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927521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927521</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463761</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463761</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850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464611</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1392132</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25822</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18009</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43831</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71252</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1473738</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1544990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1755933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1755933</v>
      </c>
      <c r="C5326" s="2" t="s">
        <v>594</v>
      </c>
      <c r="D5326" s="2" t="str">
        <f t="shared" si="82"/>
        <v>Error?</v>
      </c>
    </row>
    <row r="5327" spans="1:4" x14ac:dyDescent="0.2">
      <c r="A5327" s="5">
        <v>5266</v>
      </c>
      <c r="B5327" s="138">
        <f>'Revenues 9-14'!C275</f>
        <v>8156955</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15022</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99880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99880</v>
      </c>
      <c r="D6215" s="2" t="str">
        <f t="shared" si="96"/>
        <v>Error?</v>
      </c>
      <c r="E6215" s="2" t="s">
        <v>199</v>
      </c>
    </row>
    <row r="6216" spans="1:5" x14ac:dyDescent="0.2">
      <c r="A6216">
        <v>6155</v>
      </c>
      <c r="B6216" s="138">
        <f>'Assets-Liab 5-6'!J41</f>
        <v>99880</v>
      </c>
      <c r="D6216" s="2" t="str">
        <f t="shared" si="96"/>
        <v>Error?</v>
      </c>
      <c r="E6216" s="2" t="s">
        <v>199</v>
      </c>
    </row>
    <row r="6217" spans="1:5" x14ac:dyDescent="0.2">
      <c r="A6217">
        <v>6156</v>
      </c>
      <c r="B6217" s="138">
        <f>'Assets-Liab 5-6'!J4</f>
        <v>99880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72213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72213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72213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53580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53580</v>
      </c>
      <c r="D6229" s="2" t="str">
        <f t="shared" si="96"/>
        <v>Error?</v>
      </c>
      <c r="E6229" s="2" t="s">
        <v>199</v>
      </c>
    </row>
    <row r="6230" spans="1:5" x14ac:dyDescent="0.2">
      <c r="A6230">
        <v>6169</v>
      </c>
      <c r="B6230" s="138">
        <f>'Acct Summary 7-8'!J20</f>
        <v>18633</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18633</v>
      </c>
      <c r="D6263" s="2" t="str">
        <f t="shared" si="96"/>
        <v>Error?</v>
      </c>
      <c r="E6263" s="2" t="s">
        <v>199</v>
      </c>
    </row>
    <row r="6264" spans="1:5" x14ac:dyDescent="0.2">
      <c r="A6264">
        <v>6203</v>
      </c>
      <c r="B6264" s="138">
        <f>'Acct Summary 7-8'!J79</f>
        <v>81247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99880</v>
      </c>
      <c r="D6266" s="2" t="str">
        <f t="shared" si="96"/>
        <v>Error?</v>
      </c>
      <c r="E6266" s="2" t="s">
        <v>199</v>
      </c>
    </row>
    <row r="6267" spans="1:5" x14ac:dyDescent="0.2">
      <c r="A6267">
        <v>6206</v>
      </c>
      <c r="B6267" s="138">
        <f>'Acct Summary 7-8'!C82</f>
        <v>228789</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18633</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0.22853852178012898</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f>'Acct Summary 7-8'!J83</f>
        <v>0.18655386463756507</v>
      </c>
      <c r="D6283" s="2" t="str">
        <f t="shared" si="97"/>
        <v>Error?</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674</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674</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71539</v>
      </c>
      <c r="D6350" s="2" t="str">
        <f t="shared" si="98"/>
        <v>Error?</v>
      </c>
      <c r="E6350" s="2" t="s">
        <v>199</v>
      </c>
    </row>
    <row r="6351" spans="1:5" x14ac:dyDescent="0.2">
      <c r="A6351">
        <v>6290</v>
      </c>
      <c r="B6351" s="138">
        <f>'Revenues 9-14'!J108</f>
        <v>71539</v>
      </c>
      <c r="D6351" s="2" t="str">
        <f t="shared" si="98"/>
        <v>Error?</v>
      </c>
      <c r="E6351" s="2" t="s">
        <v>199</v>
      </c>
    </row>
    <row r="6352" spans="1:5" x14ac:dyDescent="0.2">
      <c r="A6352">
        <v>6291</v>
      </c>
      <c r="B6352" s="138">
        <f>'Revenues 9-14'!J109</f>
        <v>72213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26599</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11604</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429097</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38203</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4843</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4843</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3087</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3087</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7930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46133</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53580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72213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22572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22572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977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977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8772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8772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18365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18365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2894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2894</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53580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53580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53580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53580</v>
      </c>
      <c r="D7224" s="2" t="str">
        <f t="shared" si="111"/>
        <v>Error?</v>
      </c>
    </row>
    <row r="7225" spans="1:4" x14ac:dyDescent="0.2">
      <c r="A7225">
        <v>7164</v>
      </c>
      <c r="B7225" s="138">
        <f>'Expenditures 15-22'!K343</f>
        <v>18633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344501</v>
      </c>
      <c r="D7251" s="2" t="str">
        <f t="shared" si="112"/>
        <v>Error?</v>
      </c>
    </row>
    <row r="7252" spans="1:4" x14ac:dyDescent="0.2">
      <c r="A7252">
        <f t="shared" si="113"/>
        <v>7191</v>
      </c>
      <c r="B7252" s="138">
        <f>'Expenditures 15-22'!D9</f>
        <v>70887</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2105</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46133</v>
      </c>
      <c r="D7624" s="2" t="str">
        <f t="shared" si="124"/>
        <v>Error?</v>
      </c>
      <c r="E7624" s="2" t="s">
        <v>19</v>
      </c>
    </row>
    <row r="7625" spans="1:5" x14ac:dyDescent="0.2">
      <c r="A7625">
        <f t="shared" si="123"/>
        <v>7564</v>
      </c>
      <c r="B7625" s="138">
        <f>'Cap Outlay Deprec 26'!I17</f>
        <v>4613.3</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20991.3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29'!D141</f>
        <v>34774</v>
      </c>
      <c r="D7797" s="2" t="str">
        <f t="shared" si="127"/>
        <v>Error?</v>
      </c>
      <c r="E7797" s="4" t="s">
        <v>2017</v>
      </c>
    </row>
    <row r="7798" spans="1:5" x14ac:dyDescent="0.2">
      <c r="A7798">
        <v>7737</v>
      </c>
      <c r="B7798" s="138">
        <f>'Contracts Paid in CY 29'!F141</f>
        <v>25000</v>
      </c>
      <c r="D7798" s="2" t="str">
        <f t="shared" si="127"/>
        <v>Error?</v>
      </c>
      <c r="E7798" s="4" t="s">
        <v>2017</v>
      </c>
    </row>
    <row r="7799" spans="1:5" x14ac:dyDescent="0.2">
      <c r="A7799">
        <v>7738</v>
      </c>
      <c r="B7799" s="138">
        <f>'Contracts Paid in CY 29'!G141</f>
        <v>9774</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22.28515625"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546" t="s">
        <v>1253</v>
      </c>
      <c r="B2" s="2546"/>
      <c r="C2" s="2546"/>
      <c r="D2" s="2546"/>
      <c r="E2" s="2546"/>
      <c r="F2" s="2546"/>
      <c r="G2" s="2546"/>
      <c r="H2" s="2546"/>
      <c r="I2" s="2546"/>
      <c r="J2" s="2546"/>
      <c r="K2" s="2546"/>
      <c r="L2" s="2546"/>
    </row>
    <row r="3" spans="1:29" ht="13.5" customHeight="1" x14ac:dyDescent="0.2">
      <c r="A3" s="2530" t="s">
        <v>1252</v>
      </c>
      <c r="B3" s="2530"/>
      <c r="C3" s="2530"/>
      <c r="D3" s="2530"/>
      <c r="E3" s="2530"/>
      <c r="F3" s="2530"/>
      <c r="G3" s="2530"/>
      <c r="H3" s="2530"/>
      <c r="I3" s="2530"/>
      <c r="J3" s="2530"/>
      <c r="K3" s="2530"/>
      <c r="L3" s="2530"/>
    </row>
    <row r="4" spans="1:29" ht="13.5" customHeight="1" x14ac:dyDescent="0.2">
      <c r="A4" s="2546" t="s">
        <v>1799</v>
      </c>
      <c r="B4" s="2563"/>
      <c r="C4" s="2563"/>
      <c r="D4" s="2563"/>
      <c r="E4" s="2563"/>
      <c r="F4" s="2563"/>
      <c r="G4" s="2563"/>
      <c r="H4" s="2563"/>
      <c r="I4" s="2563"/>
      <c r="J4" s="2563"/>
      <c r="K4" s="2563"/>
      <c r="L4" s="2563"/>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564" t="str">
        <f>COVER!A17</f>
        <v>Henry-Stark County SpEd District</v>
      </c>
      <c r="B7" s="2565"/>
      <c r="C7" s="2565"/>
      <c r="D7" s="2566"/>
      <c r="E7" s="2567">
        <f>COVER!A13</f>
        <v>28037801060</v>
      </c>
      <c r="F7" s="2568"/>
      <c r="G7" s="2531" t="str">
        <f>COVER!T23</f>
        <v>066-005027</v>
      </c>
      <c r="H7" s="2532"/>
      <c r="I7" s="2532"/>
      <c r="J7" s="2532"/>
      <c r="K7" s="2532"/>
      <c r="L7" s="2533"/>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534"/>
      <c r="B9" s="2535"/>
      <c r="C9" s="2535"/>
      <c r="D9" s="2535"/>
      <c r="E9" s="2535"/>
      <c r="F9" s="2536"/>
      <c r="G9" s="2537" t="str">
        <f>COVER!T13</f>
        <v>Gorenz and Associates, Ltd.</v>
      </c>
      <c r="H9" s="2538"/>
      <c r="I9" s="2538"/>
      <c r="J9" s="2538"/>
      <c r="K9" s="2538"/>
      <c r="L9" s="2539"/>
    </row>
    <row r="10" spans="1:29" ht="13.5" customHeight="1" x14ac:dyDescent="0.2">
      <c r="A10" s="2524" t="str">
        <f>COVER!A38</f>
        <v>T. Gregory Wertheim</v>
      </c>
      <c r="B10" s="2525"/>
      <c r="C10" s="2525"/>
      <c r="D10" s="2525"/>
      <c r="E10" s="2525"/>
      <c r="F10" s="2526"/>
      <c r="G10" s="2537" t="str">
        <f>COVER!T17</f>
        <v>4200 N Knoxville Ave</v>
      </c>
      <c r="H10" s="2552"/>
      <c r="I10" s="2552"/>
      <c r="J10" s="2552"/>
      <c r="K10" s="2552"/>
      <c r="L10" s="2553"/>
    </row>
    <row r="11" spans="1:29" ht="13.5" customHeight="1" x14ac:dyDescent="0.2">
      <c r="A11" s="1183" t="s">
        <v>1599</v>
      </c>
      <c r="B11" s="1184"/>
      <c r="C11" s="1185"/>
      <c r="D11" s="1190"/>
      <c r="E11" s="1185"/>
      <c r="F11" s="1189"/>
      <c r="G11" s="2537" t="str">
        <f>COVER!T19</f>
        <v>Peoria</v>
      </c>
      <c r="H11" s="2552"/>
      <c r="I11" s="2552"/>
      <c r="J11" s="2552"/>
      <c r="K11" s="2552"/>
      <c r="L11" s="2553"/>
    </row>
    <row r="12" spans="1:29" ht="13.5" customHeight="1" x14ac:dyDescent="0.2">
      <c r="A12" s="2557" t="s">
        <v>1598</v>
      </c>
      <c r="B12" s="2558"/>
      <c r="C12" s="2558"/>
      <c r="D12" s="2558"/>
      <c r="E12" s="2558"/>
      <c r="F12" s="2559"/>
      <c r="G12" s="2554"/>
      <c r="H12" s="2555"/>
      <c r="I12" s="2555"/>
      <c r="J12" s="2555"/>
      <c r="K12" s="2555"/>
      <c r="L12" s="2556"/>
    </row>
    <row r="13" spans="1:29" ht="13.5" customHeight="1" x14ac:dyDescent="0.2">
      <c r="A13" s="2537"/>
      <c r="B13" s="2552"/>
      <c r="C13" s="2552"/>
      <c r="D13" s="2552"/>
      <c r="E13" s="2552"/>
      <c r="F13" s="2553"/>
      <c r="G13" s="2547" t="s">
        <v>1600</v>
      </c>
      <c r="H13" s="2548"/>
      <c r="I13" s="2560" t="str">
        <f>COVER!T25</f>
        <v>tpeffer@gorenzcpa.com</v>
      </c>
      <c r="J13" s="2561"/>
      <c r="K13" s="2561"/>
      <c r="L13" s="2562"/>
    </row>
    <row r="14" spans="1:29" ht="13.5" customHeight="1" x14ac:dyDescent="0.2">
      <c r="A14" s="2537" t="str">
        <f>COVER!A19</f>
        <v>1318 W. Sixth Street, PO Box 597</v>
      </c>
      <c r="B14" s="2552"/>
      <c r="C14" s="2552"/>
      <c r="D14" s="2552"/>
      <c r="E14" s="2552"/>
      <c r="F14" s="2553"/>
      <c r="G14" s="1194" t="s">
        <v>1247</v>
      </c>
      <c r="H14" s="1192"/>
      <c r="I14" s="1192"/>
      <c r="J14" s="1192"/>
      <c r="K14" s="1192"/>
      <c r="L14" s="1193"/>
    </row>
    <row r="15" spans="1:29" ht="13.5" customHeight="1" x14ac:dyDescent="0.2">
      <c r="A15" s="2537" t="str">
        <f>COVER!A21</f>
        <v>Kewanee</v>
      </c>
      <c r="B15" s="2552"/>
      <c r="C15" s="2552"/>
      <c r="D15" s="2552"/>
      <c r="E15" s="2552"/>
      <c r="F15" s="2553"/>
      <c r="G15" s="2549" t="str">
        <f>COVER!T15</f>
        <v>Thomas R. Peffer, CPA</v>
      </c>
      <c r="H15" s="2550"/>
      <c r="I15" s="2550"/>
      <c r="J15" s="2550"/>
      <c r="K15" s="2550"/>
      <c r="L15" s="2551"/>
    </row>
    <row r="16" spans="1:29" ht="12.2" customHeight="1" x14ac:dyDescent="0.2">
      <c r="A16" s="1955">
        <f>COVER!A25</f>
        <v>61443</v>
      </c>
      <c r="B16" s="1956"/>
      <c r="C16" s="1956"/>
      <c r="D16" s="1956"/>
      <c r="E16" s="1956"/>
      <c r="F16" s="1957"/>
      <c r="G16" s="2540"/>
      <c r="H16" s="2541"/>
      <c r="I16" s="2541"/>
      <c r="J16" s="2541"/>
      <c r="K16" s="2541"/>
      <c r="L16" s="2542"/>
    </row>
    <row r="17" spans="1:13" ht="12.2" customHeight="1" x14ac:dyDescent="0.2">
      <c r="A17" s="2543"/>
      <c r="B17" s="2544"/>
      <c r="C17" s="2544"/>
      <c r="D17" s="2544"/>
      <c r="E17" s="2544"/>
      <c r="F17" s="2545"/>
      <c r="G17" s="1194" t="s">
        <v>1246</v>
      </c>
      <c r="H17" s="1192"/>
      <c r="I17" s="1192"/>
      <c r="J17" s="1192"/>
      <c r="K17" s="1196" t="s">
        <v>1245</v>
      </c>
      <c r="L17" s="1189"/>
      <c r="M17" s="1182"/>
    </row>
    <row r="18" spans="1:13" ht="12.2" customHeight="1" x14ac:dyDescent="0.2">
      <c r="A18" s="2524"/>
      <c r="B18" s="2525"/>
      <c r="C18" s="2525"/>
      <c r="D18" s="2525"/>
      <c r="E18" s="2525"/>
      <c r="F18" s="2526"/>
      <c r="G18" s="2527" t="str">
        <f>COVER!T21</f>
        <v>309-685-7621</v>
      </c>
      <c r="H18" s="2528"/>
      <c r="I18" s="2528"/>
      <c r="J18" s="2528"/>
      <c r="K18" s="2527" t="str">
        <f>COVER!X21</f>
        <v>309-685-4758</v>
      </c>
      <c r="L18" s="2529"/>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t="s">
        <v>2094</v>
      </c>
      <c r="C23" s="1201" t="s">
        <v>1244</v>
      </c>
    </row>
    <row r="24" spans="1:13" ht="10.15" customHeight="1" x14ac:dyDescent="0.2">
      <c r="A24" s="1199"/>
      <c r="C24" s="1201" t="s">
        <v>1243</v>
      </c>
    </row>
    <row r="25" spans="1:13" ht="9.1999999999999993" customHeight="1" x14ac:dyDescent="0.2">
      <c r="B25" s="1202" t="s">
        <v>1231</v>
      </c>
      <c r="C25" s="1203"/>
    </row>
    <row r="26" spans="1:13" s="1197" customFormat="1" ht="12.2" customHeight="1" x14ac:dyDescent="0.2">
      <c r="B26" s="1200" t="s">
        <v>2094</v>
      </c>
      <c r="C26" s="1201" t="s">
        <v>1801</v>
      </c>
    </row>
    <row r="27" spans="1:13" s="1197" customFormat="1" ht="9.1999999999999993" customHeight="1" x14ac:dyDescent="0.2">
      <c r="B27" s="1202"/>
      <c r="C27" s="1201"/>
    </row>
    <row r="28" spans="1:13" s="1197" customFormat="1" ht="12.2" customHeight="1" x14ac:dyDescent="0.2">
      <c r="A28" s="1204"/>
      <c r="B28" s="1200" t="s">
        <v>2094</v>
      </c>
      <c r="C28" s="1201" t="s">
        <v>1802</v>
      </c>
    </row>
    <row r="29" spans="1:13" s="1197" customFormat="1" ht="9.1999999999999993" customHeight="1" x14ac:dyDescent="0.2">
      <c r="A29" s="1204"/>
      <c r="B29" s="1202"/>
      <c r="C29" s="1201"/>
    </row>
    <row r="30" spans="1:13" s="1197" customFormat="1" ht="12.2" customHeight="1" x14ac:dyDescent="0.2">
      <c r="B30" s="1200" t="s">
        <v>2094</v>
      </c>
      <c r="C30" s="1201" t="s">
        <v>1643</v>
      </c>
      <c r="D30" s="1195"/>
      <c r="E30" s="1195"/>
    </row>
    <row r="31" spans="1:13" s="1197" customFormat="1" ht="9.1999999999999993" customHeight="1" x14ac:dyDescent="0.2">
      <c r="B31" s="1202"/>
      <c r="C31" s="1201"/>
      <c r="D31" s="1195"/>
      <c r="E31" s="1195"/>
    </row>
    <row r="32" spans="1:13" s="1197" customFormat="1" ht="12.2" customHeight="1" x14ac:dyDescent="0.2">
      <c r="B32" s="1200" t="s">
        <v>2094</v>
      </c>
      <c r="C32" s="1201" t="s">
        <v>1644</v>
      </c>
      <c r="D32" s="1195"/>
      <c r="E32" s="1195"/>
    </row>
    <row r="33" spans="1:8" s="1197" customFormat="1" ht="11.1" customHeight="1" x14ac:dyDescent="0.2">
      <c r="B33" s="1202"/>
      <c r="C33" s="1205" t="s">
        <v>1803</v>
      </c>
      <c r="D33" s="1195"/>
      <c r="E33" s="1195"/>
    </row>
    <row r="34" spans="1:8" ht="9.1999999999999993" customHeight="1" x14ac:dyDescent="0.2">
      <c r="B34" s="1202"/>
      <c r="C34" s="1205"/>
    </row>
    <row r="35" spans="1:8" s="1197" customFormat="1" ht="13.5" customHeight="1" x14ac:dyDescent="0.2">
      <c r="B35" s="1200" t="s">
        <v>2094</v>
      </c>
      <c r="C35" s="1201" t="s">
        <v>1645</v>
      </c>
    </row>
    <row r="36" spans="1:8" s="1197" customFormat="1" ht="11.1" customHeight="1" x14ac:dyDescent="0.2">
      <c r="B36" s="1202"/>
      <c r="C36" s="1205" t="s">
        <v>1646</v>
      </c>
    </row>
    <row r="37" spans="1:8" ht="9.1999999999999993" customHeight="1" x14ac:dyDescent="0.2">
      <c r="B37" s="1202"/>
      <c r="C37" s="1205"/>
    </row>
    <row r="38" spans="1:8" s="1197" customFormat="1" ht="12.2" customHeight="1" x14ac:dyDescent="0.2">
      <c r="B38" s="1200" t="s">
        <v>2094</v>
      </c>
      <c r="C38" s="1201" t="s">
        <v>1647</v>
      </c>
    </row>
    <row r="39" spans="1:8" ht="9.1999999999999993" customHeight="1" x14ac:dyDescent="0.2">
      <c r="B39" s="1202"/>
      <c r="C39" s="1205"/>
    </row>
    <row r="40" spans="1:8" s="1197" customFormat="1" ht="13.5" customHeight="1" x14ac:dyDescent="0.2">
      <c r="B40" s="1200" t="s">
        <v>2094</v>
      </c>
      <c r="C40" s="1201" t="s">
        <v>1648</v>
      </c>
    </row>
    <row r="41" spans="1:8" ht="9.1999999999999993" customHeight="1" x14ac:dyDescent="0.2">
      <c r="A41" s="1206"/>
      <c r="B41" s="1202"/>
      <c r="C41" s="1205"/>
    </row>
    <row r="42" spans="1:8" s="1197" customFormat="1" ht="13.5" customHeight="1" x14ac:dyDescent="0.2">
      <c r="B42" s="1200"/>
      <c r="C42" s="1201" t="s">
        <v>1944</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t="s">
        <v>2094</v>
      </c>
      <c r="C46" s="1208" t="s">
        <v>1649</v>
      </c>
      <c r="D46" s="1195"/>
      <c r="E46" s="1195"/>
      <c r="F46" s="1195"/>
      <c r="G46" s="1195"/>
      <c r="H46" s="1195"/>
    </row>
    <row r="47" spans="1:8" ht="9.1999999999999993" customHeight="1" x14ac:dyDescent="0.2"/>
    <row r="48" spans="1:8" ht="12.2" customHeight="1" x14ac:dyDescent="0.2">
      <c r="B48" s="1209"/>
      <c r="C48" s="1210" t="s">
        <v>1650</v>
      </c>
    </row>
    <row r="49" spans="1:12" ht="9.1999999999999993"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mergeCells count="24">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3:L3"/>
    <mergeCell ref="G7:L7"/>
    <mergeCell ref="A9:F9"/>
    <mergeCell ref="G9:L9"/>
    <mergeCell ref="G16:L16"/>
    <mergeCell ref="A17:F17"/>
  </mergeCells>
  <pageMargins left="0.32" right="0.27" top="0.68" bottom="1" header="0.26" footer="0.5"/>
  <pageSetup scale="91"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569" t="str">
        <f>'Single Audit Cover'!A7</f>
        <v>Henry-Stark County SpEd District</v>
      </c>
      <c r="B1" s="2563"/>
      <c r="C1" s="2563"/>
      <c r="D1" s="2563"/>
    </row>
    <row r="2" spans="1:11" s="1213" customFormat="1" ht="12.75" x14ac:dyDescent="0.2">
      <c r="A2" s="2570">
        <f>'Single Audit Cover'!E7</f>
        <v>28037801060</v>
      </c>
      <c r="B2" s="2571"/>
      <c r="C2" s="2571"/>
      <c r="D2" s="2571"/>
    </row>
    <row r="3" spans="1:11" s="1213" customFormat="1" ht="12.75" x14ac:dyDescent="0.2">
      <c r="A3" s="2569" t="s">
        <v>1593</v>
      </c>
      <c r="B3" s="2563"/>
      <c r="C3" s="2563"/>
      <c r="D3" s="2563"/>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1945</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573" t="str">
        <f>'Single Audit Cover'!A7</f>
        <v>Henry-Stark County SpEd District</v>
      </c>
      <c r="B1" s="2573"/>
      <c r="C1" s="2573"/>
      <c r="D1" s="2573"/>
      <c r="E1" s="2573"/>
    </row>
    <row r="2" spans="1:5" x14ac:dyDescent="0.2">
      <c r="A2" s="2574">
        <f>'Single Audit Cover'!E7</f>
        <v>28037801060</v>
      </c>
      <c r="B2" s="2574"/>
      <c r="C2" s="2574"/>
      <c r="D2" s="2574"/>
      <c r="E2" s="2574"/>
    </row>
    <row r="3" spans="1:5" ht="4.5" customHeight="1" x14ac:dyDescent="0.2"/>
    <row r="4" spans="1:5" x14ac:dyDescent="0.2">
      <c r="A4" s="2573" t="s">
        <v>1307</v>
      </c>
      <c r="B4" s="2573"/>
      <c r="C4" s="2573"/>
      <c r="D4" s="2573"/>
      <c r="E4" s="2573"/>
    </row>
    <row r="5" spans="1:5" x14ac:dyDescent="0.2">
      <c r="A5" s="2576" t="str">
        <f>'Single Audit Cover'!A4</f>
        <v>Year Ending June 30, 2018</v>
      </c>
      <c r="B5" s="2576"/>
      <c r="C5" s="2576"/>
      <c r="D5" s="2576"/>
      <c r="E5" s="2576"/>
    </row>
    <row r="6" spans="1:5" x14ac:dyDescent="0.2">
      <c r="A6" s="2573" t="s">
        <v>1306</v>
      </c>
      <c r="B6" s="2573"/>
      <c r="C6" s="2573"/>
      <c r="D6" s="2573"/>
      <c r="E6" s="2573"/>
    </row>
    <row r="8" spans="1:5" x14ac:dyDescent="0.2">
      <c r="A8" s="1258" t="s">
        <v>1305</v>
      </c>
    </row>
    <row r="10" spans="1:5" x14ac:dyDescent="0.2">
      <c r="A10" s="1259" t="s">
        <v>1304</v>
      </c>
      <c r="B10" s="1260" t="s">
        <v>1303</v>
      </c>
      <c r="C10" s="1260"/>
      <c r="D10" s="1261">
        <f>SUM('Acct Summary 7-8'!C7:K7)</f>
        <v>1755933</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0</v>
      </c>
    </row>
    <row r="15" spans="1:5" x14ac:dyDescent="0.2">
      <c r="A15" s="1259"/>
      <c r="B15" s="1260"/>
      <c r="C15" s="1260"/>
    </row>
    <row r="16" spans="1:5" x14ac:dyDescent="0.2">
      <c r="A16" s="1259" t="s">
        <v>1953</v>
      </c>
      <c r="B16" s="1260"/>
      <c r="C16" s="1260"/>
    </row>
    <row r="17" spans="1:4" x14ac:dyDescent="0.2">
      <c r="A17" s="1259" t="s">
        <v>1601</v>
      </c>
      <c r="B17" s="1260" t="s">
        <v>1298</v>
      </c>
      <c r="C17" s="1260"/>
      <c r="D17" s="1262">
        <f>-SUM('Revenues 9-14'!C271:D271,'Revenues 9-14'!F271:G271)</f>
        <v>-93070</v>
      </c>
    </row>
    <row r="19" spans="1:4" ht="13.5" thickBot="1" x14ac:dyDescent="0.25">
      <c r="A19" s="1263" t="s">
        <v>1297</v>
      </c>
      <c r="D19" s="1264">
        <f>SUM(D10:D17)</f>
        <v>1662863</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575"/>
      <c r="B24" s="2575"/>
      <c r="D24" s="1266"/>
    </row>
    <row r="25" spans="1:4" x14ac:dyDescent="0.2">
      <c r="A25" s="2572"/>
      <c r="B25" s="2572"/>
      <c r="D25" s="1266"/>
    </row>
    <row r="26" spans="1:4" x14ac:dyDescent="0.2">
      <c r="A26" s="2572"/>
      <c r="B26" s="2572"/>
      <c r="D26" s="1266"/>
    </row>
    <row r="27" spans="1:4" x14ac:dyDescent="0.2">
      <c r="A27" s="2572"/>
      <c r="B27" s="2572"/>
      <c r="D27" s="1266"/>
    </row>
    <row r="28" spans="1:4" x14ac:dyDescent="0.2">
      <c r="A28" s="2572"/>
      <c r="B28" s="2572"/>
      <c r="D28" s="1266"/>
    </row>
    <row r="29" spans="1:4" x14ac:dyDescent="0.2">
      <c r="A29" s="2572"/>
      <c r="B29" s="2572"/>
      <c r="D29" s="1266"/>
    </row>
    <row r="30" spans="1:4" x14ac:dyDescent="0.2">
      <c r="A30" s="2572"/>
      <c r="B30" s="2572"/>
      <c r="D30" s="1266"/>
    </row>
    <row r="32" spans="1:4" x14ac:dyDescent="0.2">
      <c r="A32" s="1258" t="s">
        <v>1295</v>
      </c>
      <c r="D32" s="1261">
        <f>SUM(D19:D30)</f>
        <v>1662863</v>
      </c>
    </row>
    <row r="33" spans="1:4" x14ac:dyDescent="0.2">
      <c r="D33" s="1267"/>
    </row>
    <row r="34" spans="1:4" x14ac:dyDescent="0.2">
      <c r="A34" s="317" t="s">
        <v>1294</v>
      </c>
    </row>
    <row r="35" spans="1:4" x14ac:dyDescent="0.2">
      <c r="A35" s="317" t="s">
        <v>1293</v>
      </c>
      <c r="B35" s="1256" t="s">
        <v>1292</v>
      </c>
      <c r="D35" s="1268">
        <v>1662863</v>
      </c>
    </row>
    <row r="37" spans="1:4" x14ac:dyDescent="0.2">
      <c r="A37" s="1258" t="s">
        <v>1291</v>
      </c>
    </row>
    <row r="39" spans="1:4" ht="13.35" customHeight="1" x14ac:dyDescent="0.2">
      <c r="A39" s="1265" t="s">
        <v>1290</v>
      </c>
    </row>
    <row r="40" spans="1:4" x14ac:dyDescent="0.2">
      <c r="A40" s="2572"/>
      <c r="B40" s="2572"/>
      <c r="D40" s="1266"/>
    </row>
    <row r="41" spans="1:4" x14ac:dyDescent="0.2">
      <c r="A41" s="2572"/>
      <c r="B41" s="2572"/>
      <c r="D41" s="1269"/>
    </row>
    <row r="42" spans="1:4" x14ac:dyDescent="0.2">
      <c r="A42" s="2572"/>
      <c r="B42" s="2572"/>
      <c r="D42" s="1269"/>
    </row>
    <row r="43" spans="1:4" x14ac:dyDescent="0.2">
      <c r="A43" s="2572"/>
      <c r="B43" s="2572"/>
      <c r="D43" s="1269"/>
    </row>
    <row r="44" spans="1:4" x14ac:dyDescent="0.2">
      <c r="A44" s="2572"/>
      <c r="B44" s="2572"/>
      <c r="D44" s="1269"/>
    </row>
    <row r="45" spans="1:4" x14ac:dyDescent="0.2">
      <c r="A45" s="2572"/>
      <c r="B45" s="2572"/>
      <c r="D45" s="1269"/>
    </row>
    <row r="47" spans="1:4" x14ac:dyDescent="0.2">
      <c r="B47" s="1270" t="s">
        <v>1289</v>
      </c>
      <c r="C47" s="1270"/>
      <c r="D47" s="1271">
        <f>SUM(D35:D45)</f>
        <v>1662863</v>
      </c>
    </row>
    <row r="49" spans="2:4" x14ac:dyDescent="0.2">
      <c r="B49" s="1270" t="s">
        <v>1288</v>
      </c>
      <c r="C49" s="1270"/>
      <c r="D49" s="1271">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Y77"/>
  <sheetViews>
    <sheetView showGridLines="0" topLeftCell="A4" zoomScaleNormal="100" zoomScaleSheetLayoutView="100" workbookViewId="0">
      <selection activeCell="A4" sqref="A4:S4"/>
    </sheetView>
  </sheetViews>
  <sheetFormatPr defaultColWidth="16.7109375" defaultRowHeight="12.75" x14ac:dyDescent="0.2"/>
  <cols>
    <col min="1" max="1" width="6.5703125" style="1961" customWidth="1"/>
    <col min="2" max="2" width="55" style="1962" customWidth="1"/>
    <col min="3" max="3" width="11" style="1962" customWidth="1"/>
    <col min="4" max="4" width="1.85546875" style="1962" customWidth="1"/>
    <col min="5" max="5" width="13.42578125" style="1962" customWidth="1"/>
    <col min="6" max="6" width="6.42578125" style="1963" customWidth="1"/>
    <col min="7" max="7" width="14" style="1962" customWidth="1"/>
    <col min="8" max="8" width="1.85546875" style="1962" customWidth="1"/>
    <col min="9" max="9" width="13.5703125" style="1962" customWidth="1"/>
    <col min="10" max="10" width="3.85546875" style="1963" customWidth="1"/>
    <col min="11" max="11" width="13.140625" style="1962" bestFit="1" customWidth="1"/>
    <col min="12" max="12" width="4.140625" style="1962" customWidth="1"/>
    <col min="13" max="13" width="13.7109375" style="1962" customWidth="1"/>
    <col min="14" max="14" width="5.28515625" style="1962" customWidth="1"/>
    <col min="15" max="15" width="11" style="1962" customWidth="1"/>
    <col min="16" max="16" width="5.28515625" style="1963" customWidth="1"/>
    <col min="17" max="17" width="15.85546875" style="1962" customWidth="1"/>
    <col min="18" max="18" width="6.140625" style="1962" customWidth="1"/>
    <col min="19" max="19" width="13.85546875" style="1963" customWidth="1"/>
    <col min="20" max="256" width="16.7109375" style="1962"/>
    <col min="257" max="257" width="6.5703125" style="1962" customWidth="1"/>
    <col min="258" max="258" width="55" style="1962" customWidth="1"/>
    <col min="259" max="259" width="11" style="1962" customWidth="1"/>
    <col min="260" max="260" width="1.85546875" style="1962" customWidth="1"/>
    <col min="261" max="261" width="13.42578125" style="1962" customWidth="1"/>
    <col min="262" max="262" width="6.42578125" style="1962" customWidth="1"/>
    <col min="263" max="263" width="14" style="1962" customWidth="1"/>
    <col min="264" max="264" width="1.85546875" style="1962" customWidth="1"/>
    <col min="265" max="265" width="13.5703125" style="1962" customWidth="1"/>
    <col min="266" max="266" width="3.85546875" style="1962" customWidth="1"/>
    <col min="267" max="267" width="13.140625" style="1962" bestFit="1" customWidth="1"/>
    <col min="268" max="268" width="4.140625" style="1962" customWidth="1"/>
    <col min="269" max="269" width="13.7109375" style="1962" customWidth="1"/>
    <col min="270" max="270" width="5.28515625" style="1962" customWidth="1"/>
    <col min="271" max="271" width="11" style="1962" customWidth="1"/>
    <col min="272" max="272" width="5.28515625" style="1962" customWidth="1"/>
    <col min="273" max="273" width="15.85546875" style="1962" customWidth="1"/>
    <col min="274" max="274" width="6.140625" style="1962" customWidth="1"/>
    <col min="275" max="275" width="13.85546875" style="1962" customWidth="1"/>
    <col min="276" max="512" width="16.7109375" style="1962"/>
    <col min="513" max="513" width="6.5703125" style="1962" customWidth="1"/>
    <col min="514" max="514" width="55" style="1962" customWidth="1"/>
    <col min="515" max="515" width="11" style="1962" customWidth="1"/>
    <col min="516" max="516" width="1.85546875" style="1962" customWidth="1"/>
    <col min="517" max="517" width="13.42578125" style="1962" customWidth="1"/>
    <col min="518" max="518" width="6.42578125" style="1962" customWidth="1"/>
    <col min="519" max="519" width="14" style="1962" customWidth="1"/>
    <col min="520" max="520" width="1.85546875" style="1962" customWidth="1"/>
    <col min="521" max="521" width="13.5703125" style="1962" customWidth="1"/>
    <col min="522" max="522" width="3.85546875" style="1962" customWidth="1"/>
    <col min="523" max="523" width="13.140625" style="1962" bestFit="1" customWidth="1"/>
    <col min="524" max="524" width="4.140625" style="1962" customWidth="1"/>
    <col min="525" max="525" width="13.7109375" style="1962" customWidth="1"/>
    <col min="526" max="526" width="5.28515625" style="1962" customWidth="1"/>
    <col min="527" max="527" width="11" style="1962" customWidth="1"/>
    <col min="528" max="528" width="5.28515625" style="1962" customWidth="1"/>
    <col min="529" max="529" width="15.85546875" style="1962" customWidth="1"/>
    <col min="530" max="530" width="6.140625" style="1962" customWidth="1"/>
    <col min="531" max="531" width="13.85546875" style="1962" customWidth="1"/>
    <col min="532" max="768" width="16.7109375" style="1962"/>
    <col min="769" max="769" width="6.5703125" style="1962" customWidth="1"/>
    <col min="770" max="770" width="55" style="1962" customWidth="1"/>
    <col min="771" max="771" width="11" style="1962" customWidth="1"/>
    <col min="772" max="772" width="1.85546875" style="1962" customWidth="1"/>
    <col min="773" max="773" width="13.42578125" style="1962" customWidth="1"/>
    <col min="774" max="774" width="6.42578125" style="1962" customWidth="1"/>
    <col min="775" max="775" width="14" style="1962" customWidth="1"/>
    <col min="776" max="776" width="1.85546875" style="1962" customWidth="1"/>
    <col min="777" max="777" width="13.5703125" style="1962" customWidth="1"/>
    <col min="778" max="778" width="3.85546875" style="1962" customWidth="1"/>
    <col min="779" max="779" width="13.140625" style="1962" bestFit="1" customWidth="1"/>
    <col min="780" max="780" width="4.140625" style="1962" customWidth="1"/>
    <col min="781" max="781" width="13.7109375" style="1962" customWidth="1"/>
    <col min="782" max="782" width="5.28515625" style="1962" customWidth="1"/>
    <col min="783" max="783" width="11" style="1962" customWidth="1"/>
    <col min="784" max="784" width="5.28515625" style="1962" customWidth="1"/>
    <col min="785" max="785" width="15.85546875" style="1962" customWidth="1"/>
    <col min="786" max="786" width="6.140625" style="1962" customWidth="1"/>
    <col min="787" max="787" width="13.85546875" style="1962" customWidth="1"/>
    <col min="788" max="1024" width="16.7109375" style="1962"/>
    <col min="1025" max="1025" width="6.5703125" style="1962" customWidth="1"/>
    <col min="1026" max="1026" width="55" style="1962" customWidth="1"/>
    <col min="1027" max="1027" width="11" style="1962" customWidth="1"/>
    <col min="1028" max="1028" width="1.85546875" style="1962" customWidth="1"/>
    <col min="1029" max="1029" width="13.42578125" style="1962" customWidth="1"/>
    <col min="1030" max="1030" width="6.42578125" style="1962" customWidth="1"/>
    <col min="1031" max="1031" width="14" style="1962" customWidth="1"/>
    <col min="1032" max="1032" width="1.85546875" style="1962" customWidth="1"/>
    <col min="1033" max="1033" width="13.5703125" style="1962" customWidth="1"/>
    <col min="1034" max="1034" width="3.85546875" style="1962" customWidth="1"/>
    <col min="1035" max="1035" width="13.140625" style="1962" bestFit="1" customWidth="1"/>
    <col min="1036" max="1036" width="4.140625" style="1962" customWidth="1"/>
    <col min="1037" max="1037" width="13.7109375" style="1962" customWidth="1"/>
    <col min="1038" max="1038" width="5.28515625" style="1962" customWidth="1"/>
    <col min="1039" max="1039" width="11" style="1962" customWidth="1"/>
    <col min="1040" max="1040" width="5.28515625" style="1962" customWidth="1"/>
    <col min="1041" max="1041" width="15.85546875" style="1962" customWidth="1"/>
    <col min="1042" max="1042" width="6.140625" style="1962" customWidth="1"/>
    <col min="1043" max="1043" width="13.85546875" style="1962" customWidth="1"/>
    <col min="1044" max="1280" width="16.7109375" style="1962"/>
    <col min="1281" max="1281" width="6.5703125" style="1962" customWidth="1"/>
    <col min="1282" max="1282" width="55" style="1962" customWidth="1"/>
    <col min="1283" max="1283" width="11" style="1962" customWidth="1"/>
    <col min="1284" max="1284" width="1.85546875" style="1962" customWidth="1"/>
    <col min="1285" max="1285" width="13.42578125" style="1962" customWidth="1"/>
    <col min="1286" max="1286" width="6.42578125" style="1962" customWidth="1"/>
    <col min="1287" max="1287" width="14" style="1962" customWidth="1"/>
    <col min="1288" max="1288" width="1.85546875" style="1962" customWidth="1"/>
    <col min="1289" max="1289" width="13.5703125" style="1962" customWidth="1"/>
    <col min="1290" max="1290" width="3.85546875" style="1962" customWidth="1"/>
    <col min="1291" max="1291" width="13.140625" style="1962" bestFit="1" customWidth="1"/>
    <col min="1292" max="1292" width="4.140625" style="1962" customWidth="1"/>
    <col min="1293" max="1293" width="13.7109375" style="1962" customWidth="1"/>
    <col min="1294" max="1294" width="5.28515625" style="1962" customWidth="1"/>
    <col min="1295" max="1295" width="11" style="1962" customWidth="1"/>
    <col min="1296" max="1296" width="5.28515625" style="1962" customWidth="1"/>
    <col min="1297" max="1297" width="15.85546875" style="1962" customWidth="1"/>
    <col min="1298" max="1298" width="6.140625" style="1962" customWidth="1"/>
    <col min="1299" max="1299" width="13.85546875" style="1962" customWidth="1"/>
    <col min="1300" max="1536" width="16.7109375" style="1962"/>
    <col min="1537" max="1537" width="6.5703125" style="1962" customWidth="1"/>
    <col min="1538" max="1538" width="55" style="1962" customWidth="1"/>
    <col min="1539" max="1539" width="11" style="1962" customWidth="1"/>
    <col min="1540" max="1540" width="1.85546875" style="1962" customWidth="1"/>
    <col min="1541" max="1541" width="13.42578125" style="1962" customWidth="1"/>
    <col min="1542" max="1542" width="6.42578125" style="1962" customWidth="1"/>
    <col min="1543" max="1543" width="14" style="1962" customWidth="1"/>
    <col min="1544" max="1544" width="1.85546875" style="1962" customWidth="1"/>
    <col min="1545" max="1545" width="13.5703125" style="1962" customWidth="1"/>
    <col min="1546" max="1546" width="3.85546875" style="1962" customWidth="1"/>
    <col min="1547" max="1547" width="13.140625" style="1962" bestFit="1" customWidth="1"/>
    <col min="1548" max="1548" width="4.140625" style="1962" customWidth="1"/>
    <col min="1549" max="1549" width="13.7109375" style="1962" customWidth="1"/>
    <col min="1550" max="1550" width="5.28515625" style="1962" customWidth="1"/>
    <col min="1551" max="1551" width="11" style="1962" customWidth="1"/>
    <col min="1552" max="1552" width="5.28515625" style="1962" customWidth="1"/>
    <col min="1553" max="1553" width="15.85546875" style="1962" customWidth="1"/>
    <col min="1554" max="1554" width="6.140625" style="1962" customWidth="1"/>
    <col min="1555" max="1555" width="13.85546875" style="1962" customWidth="1"/>
    <col min="1556" max="1792" width="16.7109375" style="1962"/>
    <col min="1793" max="1793" width="6.5703125" style="1962" customWidth="1"/>
    <col min="1794" max="1794" width="55" style="1962" customWidth="1"/>
    <col min="1795" max="1795" width="11" style="1962" customWidth="1"/>
    <col min="1796" max="1796" width="1.85546875" style="1962" customWidth="1"/>
    <col min="1797" max="1797" width="13.42578125" style="1962" customWidth="1"/>
    <col min="1798" max="1798" width="6.42578125" style="1962" customWidth="1"/>
    <col min="1799" max="1799" width="14" style="1962" customWidth="1"/>
    <col min="1800" max="1800" width="1.85546875" style="1962" customWidth="1"/>
    <col min="1801" max="1801" width="13.5703125" style="1962" customWidth="1"/>
    <col min="1802" max="1802" width="3.85546875" style="1962" customWidth="1"/>
    <col min="1803" max="1803" width="13.140625" style="1962" bestFit="1" customWidth="1"/>
    <col min="1804" max="1804" width="4.140625" style="1962" customWidth="1"/>
    <col min="1805" max="1805" width="13.7109375" style="1962" customWidth="1"/>
    <col min="1806" max="1806" width="5.28515625" style="1962" customWidth="1"/>
    <col min="1807" max="1807" width="11" style="1962" customWidth="1"/>
    <col min="1808" max="1808" width="5.28515625" style="1962" customWidth="1"/>
    <col min="1809" max="1809" width="15.85546875" style="1962" customWidth="1"/>
    <col min="1810" max="1810" width="6.140625" style="1962" customWidth="1"/>
    <col min="1811" max="1811" width="13.85546875" style="1962" customWidth="1"/>
    <col min="1812" max="2048" width="16.7109375" style="1962"/>
    <col min="2049" max="2049" width="6.5703125" style="1962" customWidth="1"/>
    <col min="2050" max="2050" width="55" style="1962" customWidth="1"/>
    <col min="2051" max="2051" width="11" style="1962" customWidth="1"/>
    <col min="2052" max="2052" width="1.85546875" style="1962" customWidth="1"/>
    <col min="2053" max="2053" width="13.42578125" style="1962" customWidth="1"/>
    <col min="2054" max="2054" width="6.42578125" style="1962" customWidth="1"/>
    <col min="2055" max="2055" width="14" style="1962" customWidth="1"/>
    <col min="2056" max="2056" width="1.85546875" style="1962" customWidth="1"/>
    <col min="2057" max="2057" width="13.5703125" style="1962" customWidth="1"/>
    <col min="2058" max="2058" width="3.85546875" style="1962" customWidth="1"/>
    <col min="2059" max="2059" width="13.140625" style="1962" bestFit="1" customWidth="1"/>
    <col min="2060" max="2060" width="4.140625" style="1962" customWidth="1"/>
    <col min="2061" max="2061" width="13.7109375" style="1962" customWidth="1"/>
    <col min="2062" max="2062" width="5.28515625" style="1962" customWidth="1"/>
    <col min="2063" max="2063" width="11" style="1962" customWidth="1"/>
    <col min="2064" max="2064" width="5.28515625" style="1962" customWidth="1"/>
    <col min="2065" max="2065" width="15.85546875" style="1962" customWidth="1"/>
    <col min="2066" max="2066" width="6.140625" style="1962" customWidth="1"/>
    <col min="2067" max="2067" width="13.85546875" style="1962" customWidth="1"/>
    <col min="2068" max="2304" width="16.7109375" style="1962"/>
    <col min="2305" max="2305" width="6.5703125" style="1962" customWidth="1"/>
    <col min="2306" max="2306" width="55" style="1962" customWidth="1"/>
    <col min="2307" max="2307" width="11" style="1962" customWidth="1"/>
    <col min="2308" max="2308" width="1.85546875" style="1962" customWidth="1"/>
    <col min="2309" max="2309" width="13.42578125" style="1962" customWidth="1"/>
    <col min="2310" max="2310" width="6.42578125" style="1962" customWidth="1"/>
    <col min="2311" max="2311" width="14" style="1962" customWidth="1"/>
    <col min="2312" max="2312" width="1.85546875" style="1962" customWidth="1"/>
    <col min="2313" max="2313" width="13.5703125" style="1962" customWidth="1"/>
    <col min="2314" max="2314" width="3.85546875" style="1962" customWidth="1"/>
    <col min="2315" max="2315" width="13.140625" style="1962" bestFit="1" customWidth="1"/>
    <col min="2316" max="2316" width="4.140625" style="1962" customWidth="1"/>
    <col min="2317" max="2317" width="13.7109375" style="1962" customWidth="1"/>
    <col min="2318" max="2318" width="5.28515625" style="1962" customWidth="1"/>
    <col min="2319" max="2319" width="11" style="1962" customWidth="1"/>
    <col min="2320" max="2320" width="5.28515625" style="1962" customWidth="1"/>
    <col min="2321" max="2321" width="15.85546875" style="1962" customWidth="1"/>
    <col min="2322" max="2322" width="6.140625" style="1962" customWidth="1"/>
    <col min="2323" max="2323" width="13.85546875" style="1962" customWidth="1"/>
    <col min="2324" max="2560" width="16.7109375" style="1962"/>
    <col min="2561" max="2561" width="6.5703125" style="1962" customWidth="1"/>
    <col min="2562" max="2562" width="55" style="1962" customWidth="1"/>
    <col min="2563" max="2563" width="11" style="1962" customWidth="1"/>
    <col min="2564" max="2564" width="1.85546875" style="1962" customWidth="1"/>
    <col min="2565" max="2565" width="13.42578125" style="1962" customWidth="1"/>
    <col min="2566" max="2566" width="6.42578125" style="1962" customWidth="1"/>
    <col min="2567" max="2567" width="14" style="1962" customWidth="1"/>
    <col min="2568" max="2568" width="1.85546875" style="1962" customWidth="1"/>
    <col min="2569" max="2569" width="13.5703125" style="1962" customWidth="1"/>
    <col min="2570" max="2570" width="3.85546875" style="1962" customWidth="1"/>
    <col min="2571" max="2571" width="13.140625" style="1962" bestFit="1" customWidth="1"/>
    <col min="2572" max="2572" width="4.140625" style="1962" customWidth="1"/>
    <col min="2573" max="2573" width="13.7109375" style="1962" customWidth="1"/>
    <col min="2574" max="2574" width="5.28515625" style="1962" customWidth="1"/>
    <col min="2575" max="2575" width="11" style="1962" customWidth="1"/>
    <col min="2576" max="2576" width="5.28515625" style="1962" customWidth="1"/>
    <col min="2577" max="2577" width="15.85546875" style="1962" customWidth="1"/>
    <col min="2578" max="2578" width="6.140625" style="1962" customWidth="1"/>
    <col min="2579" max="2579" width="13.85546875" style="1962" customWidth="1"/>
    <col min="2580" max="2816" width="16.7109375" style="1962"/>
    <col min="2817" max="2817" width="6.5703125" style="1962" customWidth="1"/>
    <col min="2818" max="2818" width="55" style="1962" customWidth="1"/>
    <col min="2819" max="2819" width="11" style="1962" customWidth="1"/>
    <col min="2820" max="2820" width="1.85546875" style="1962" customWidth="1"/>
    <col min="2821" max="2821" width="13.42578125" style="1962" customWidth="1"/>
    <col min="2822" max="2822" width="6.42578125" style="1962" customWidth="1"/>
    <col min="2823" max="2823" width="14" style="1962" customWidth="1"/>
    <col min="2824" max="2824" width="1.85546875" style="1962" customWidth="1"/>
    <col min="2825" max="2825" width="13.5703125" style="1962" customWidth="1"/>
    <col min="2826" max="2826" width="3.85546875" style="1962" customWidth="1"/>
    <col min="2827" max="2827" width="13.140625" style="1962" bestFit="1" customWidth="1"/>
    <col min="2828" max="2828" width="4.140625" style="1962" customWidth="1"/>
    <col min="2829" max="2829" width="13.7109375" style="1962" customWidth="1"/>
    <col min="2830" max="2830" width="5.28515625" style="1962" customWidth="1"/>
    <col min="2831" max="2831" width="11" style="1962" customWidth="1"/>
    <col min="2832" max="2832" width="5.28515625" style="1962" customWidth="1"/>
    <col min="2833" max="2833" width="15.85546875" style="1962" customWidth="1"/>
    <col min="2834" max="2834" width="6.140625" style="1962" customWidth="1"/>
    <col min="2835" max="2835" width="13.85546875" style="1962" customWidth="1"/>
    <col min="2836" max="3072" width="16.7109375" style="1962"/>
    <col min="3073" max="3073" width="6.5703125" style="1962" customWidth="1"/>
    <col min="3074" max="3074" width="55" style="1962" customWidth="1"/>
    <col min="3075" max="3075" width="11" style="1962" customWidth="1"/>
    <col min="3076" max="3076" width="1.85546875" style="1962" customWidth="1"/>
    <col min="3077" max="3077" width="13.42578125" style="1962" customWidth="1"/>
    <col min="3078" max="3078" width="6.42578125" style="1962" customWidth="1"/>
    <col min="3079" max="3079" width="14" style="1962" customWidth="1"/>
    <col min="3080" max="3080" width="1.85546875" style="1962" customWidth="1"/>
    <col min="3081" max="3081" width="13.5703125" style="1962" customWidth="1"/>
    <col min="3082" max="3082" width="3.85546875" style="1962" customWidth="1"/>
    <col min="3083" max="3083" width="13.140625" style="1962" bestFit="1" customWidth="1"/>
    <col min="3084" max="3084" width="4.140625" style="1962" customWidth="1"/>
    <col min="3085" max="3085" width="13.7109375" style="1962" customWidth="1"/>
    <col min="3086" max="3086" width="5.28515625" style="1962" customWidth="1"/>
    <col min="3087" max="3087" width="11" style="1962" customWidth="1"/>
    <col min="3088" max="3088" width="5.28515625" style="1962" customWidth="1"/>
    <col min="3089" max="3089" width="15.85546875" style="1962" customWidth="1"/>
    <col min="3090" max="3090" width="6.140625" style="1962" customWidth="1"/>
    <col min="3091" max="3091" width="13.85546875" style="1962" customWidth="1"/>
    <col min="3092" max="3328" width="16.7109375" style="1962"/>
    <col min="3329" max="3329" width="6.5703125" style="1962" customWidth="1"/>
    <col min="3330" max="3330" width="55" style="1962" customWidth="1"/>
    <col min="3331" max="3331" width="11" style="1962" customWidth="1"/>
    <col min="3332" max="3332" width="1.85546875" style="1962" customWidth="1"/>
    <col min="3333" max="3333" width="13.42578125" style="1962" customWidth="1"/>
    <col min="3334" max="3334" width="6.42578125" style="1962" customWidth="1"/>
    <col min="3335" max="3335" width="14" style="1962" customWidth="1"/>
    <col min="3336" max="3336" width="1.85546875" style="1962" customWidth="1"/>
    <col min="3337" max="3337" width="13.5703125" style="1962" customWidth="1"/>
    <col min="3338" max="3338" width="3.85546875" style="1962" customWidth="1"/>
    <col min="3339" max="3339" width="13.140625" style="1962" bestFit="1" customWidth="1"/>
    <col min="3340" max="3340" width="4.140625" style="1962" customWidth="1"/>
    <col min="3341" max="3341" width="13.7109375" style="1962" customWidth="1"/>
    <col min="3342" max="3342" width="5.28515625" style="1962" customWidth="1"/>
    <col min="3343" max="3343" width="11" style="1962" customWidth="1"/>
    <col min="3344" max="3344" width="5.28515625" style="1962" customWidth="1"/>
    <col min="3345" max="3345" width="15.85546875" style="1962" customWidth="1"/>
    <col min="3346" max="3346" width="6.140625" style="1962" customWidth="1"/>
    <col min="3347" max="3347" width="13.85546875" style="1962" customWidth="1"/>
    <col min="3348" max="3584" width="16.7109375" style="1962"/>
    <col min="3585" max="3585" width="6.5703125" style="1962" customWidth="1"/>
    <col min="3586" max="3586" width="55" style="1962" customWidth="1"/>
    <col min="3587" max="3587" width="11" style="1962" customWidth="1"/>
    <col min="3588" max="3588" width="1.85546875" style="1962" customWidth="1"/>
    <col min="3589" max="3589" width="13.42578125" style="1962" customWidth="1"/>
    <col min="3590" max="3590" width="6.42578125" style="1962" customWidth="1"/>
    <col min="3591" max="3591" width="14" style="1962" customWidth="1"/>
    <col min="3592" max="3592" width="1.85546875" style="1962" customWidth="1"/>
    <col min="3593" max="3593" width="13.5703125" style="1962" customWidth="1"/>
    <col min="3594" max="3594" width="3.85546875" style="1962" customWidth="1"/>
    <col min="3595" max="3595" width="13.140625" style="1962" bestFit="1" customWidth="1"/>
    <col min="3596" max="3596" width="4.140625" style="1962" customWidth="1"/>
    <col min="3597" max="3597" width="13.7109375" style="1962" customWidth="1"/>
    <col min="3598" max="3598" width="5.28515625" style="1962" customWidth="1"/>
    <col min="3599" max="3599" width="11" style="1962" customWidth="1"/>
    <col min="3600" max="3600" width="5.28515625" style="1962" customWidth="1"/>
    <col min="3601" max="3601" width="15.85546875" style="1962" customWidth="1"/>
    <col min="3602" max="3602" width="6.140625" style="1962" customWidth="1"/>
    <col min="3603" max="3603" width="13.85546875" style="1962" customWidth="1"/>
    <col min="3604" max="3840" width="16.7109375" style="1962"/>
    <col min="3841" max="3841" width="6.5703125" style="1962" customWidth="1"/>
    <col min="3842" max="3842" width="55" style="1962" customWidth="1"/>
    <col min="3843" max="3843" width="11" style="1962" customWidth="1"/>
    <col min="3844" max="3844" width="1.85546875" style="1962" customWidth="1"/>
    <col min="3845" max="3845" width="13.42578125" style="1962" customWidth="1"/>
    <col min="3846" max="3846" width="6.42578125" style="1962" customWidth="1"/>
    <col min="3847" max="3847" width="14" style="1962" customWidth="1"/>
    <col min="3848" max="3848" width="1.85546875" style="1962" customWidth="1"/>
    <col min="3849" max="3849" width="13.5703125" style="1962" customWidth="1"/>
    <col min="3850" max="3850" width="3.85546875" style="1962" customWidth="1"/>
    <col min="3851" max="3851" width="13.140625" style="1962" bestFit="1" customWidth="1"/>
    <col min="3852" max="3852" width="4.140625" style="1962" customWidth="1"/>
    <col min="3853" max="3853" width="13.7109375" style="1962" customWidth="1"/>
    <col min="3854" max="3854" width="5.28515625" style="1962" customWidth="1"/>
    <col min="3855" max="3855" width="11" style="1962" customWidth="1"/>
    <col min="3856" max="3856" width="5.28515625" style="1962" customWidth="1"/>
    <col min="3857" max="3857" width="15.85546875" style="1962" customWidth="1"/>
    <col min="3858" max="3858" width="6.140625" style="1962" customWidth="1"/>
    <col min="3859" max="3859" width="13.85546875" style="1962" customWidth="1"/>
    <col min="3860" max="4096" width="16.7109375" style="1962"/>
    <col min="4097" max="4097" width="6.5703125" style="1962" customWidth="1"/>
    <col min="4098" max="4098" width="55" style="1962" customWidth="1"/>
    <col min="4099" max="4099" width="11" style="1962" customWidth="1"/>
    <col min="4100" max="4100" width="1.85546875" style="1962" customWidth="1"/>
    <col min="4101" max="4101" width="13.42578125" style="1962" customWidth="1"/>
    <col min="4102" max="4102" width="6.42578125" style="1962" customWidth="1"/>
    <col min="4103" max="4103" width="14" style="1962" customWidth="1"/>
    <col min="4104" max="4104" width="1.85546875" style="1962" customWidth="1"/>
    <col min="4105" max="4105" width="13.5703125" style="1962" customWidth="1"/>
    <col min="4106" max="4106" width="3.85546875" style="1962" customWidth="1"/>
    <col min="4107" max="4107" width="13.140625" style="1962" bestFit="1" customWidth="1"/>
    <col min="4108" max="4108" width="4.140625" style="1962" customWidth="1"/>
    <col min="4109" max="4109" width="13.7109375" style="1962" customWidth="1"/>
    <col min="4110" max="4110" width="5.28515625" style="1962" customWidth="1"/>
    <col min="4111" max="4111" width="11" style="1962" customWidth="1"/>
    <col min="4112" max="4112" width="5.28515625" style="1962" customWidth="1"/>
    <col min="4113" max="4113" width="15.85546875" style="1962" customWidth="1"/>
    <col min="4114" max="4114" width="6.140625" style="1962" customWidth="1"/>
    <col min="4115" max="4115" width="13.85546875" style="1962" customWidth="1"/>
    <col min="4116" max="4352" width="16.7109375" style="1962"/>
    <col min="4353" max="4353" width="6.5703125" style="1962" customWidth="1"/>
    <col min="4354" max="4354" width="55" style="1962" customWidth="1"/>
    <col min="4355" max="4355" width="11" style="1962" customWidth="1"/>
    <col min="4356" max="4356" width="1.85546875" style="1962" customWidth="1"/>
    <col min="4357" max="4357" width="13.42578125" style="1962" customWidth="1"/>
    <col min="4358" max="4358" width="6.42578125" style="1962" customWidth="1"/>
    <col min="4359" max="4359" width="14" style="1962" customWidth="1"/>
    <col min="4360" max="4360" width="1.85546875" style="1962" customWidth="1"/>
    <col min="4361" max="4361" width="13.5703125" style="1962" customWidth="1"/>
    <col min="4362" max="4362" width="3.85546875" style="1962" customWidth="1"/>
    <col min="4363" max="4363" width="13.140625" style="1962" bestFit="1" customWidth="1"/>
    <col min="4364" max="4364" width="4.140625" style="1962" customWidth="1"/>
    <col min="4365" max="4365" width="13.7109375" style="1962" customWidth="1"/>
    <col min="4366" max="4366" width="5.28515625" style="1962" customWidth="1"/>
    <col min="4367" max="4367" width="11" style="1962" customWidth="1"/>
    <col min="4368" max="4368" width="5.28515625" style="1962" customWidth="1"/>
    <col min="4369" max="4369" width="15.85546875" style="1962" customWidth="1"/>
    <col min="4370" max="4370" width="6.140625" style="1962" customWidth="1"/>
    <col min="4371" max="4371" width="13.85546875" style="1962" customWidth="1"/>
    <col min="4372" max="4608" width="16.7109375" style="1962"/>
    <col min="4609" max="4609" width="6.5703125" style="1962" customWidth="1"/>
    <col min="4610" max="4610" width="55" style="1962" customWidth="1"/>
    <col min="4611" max="4611" width="11" style="1962" customWidth="1"/>
    <col min="4612" max="4612" width="1.85546875" style="1962" customWidth="1"/>
    <col min="4613" max="4613" width="13.42578125" style="1962" customWidth="1"/>
    <col min="4614" max="4614" width="6.42578125" style="1962" customWidth="1"/>
    <col min="4615" max="4615" width="14" style="1962" customWidth="1"/>
    <col min="4616" max="4616" width="1.85546875" style="1962" customWidth="1"/>
    <col min="4617" max="4617" width="13.5703125" style="1962" customWidth="1"/>
    <col min="4618" max="4618" width="3.85546875" style="1962" customWidth="1"/>
    <col min="4619" max="4619" width="13.140625" style="1962" bestFit="1" customWidth="1"/>
    <col min="4620" max="4620" width="4.140625" style="1962" customWidth="1"/>
    <col min="4621" max="4621" width="13.7109375" style="1962" customWidth="1"/>
    <col min="4622" max="4622" width="5.28515625" style="1962" customWidth="1"/>
    <col min="4623" max="4623" width="11" style="1962" customWidth="1"/>
    <col min="4624" max="4624" width="5.28515625" style="1962" customWidth="1"/>
    <col min="4625" max="4625" width="15.85546875" style="1962" customWidth="1"/>
    <col min="4626" max="4626" width="6.140625" style="1962" customWidth="1"/>
    <col min="4627" max="4627" width="13.85546875" style="1962" customWidth="1"/>
    <col min="4628" max="4864" width="16.7109375" style="1962"/>
    <col min="4865" max="4865" width="6.5703125" style="1962" customWidth="1"/>
    <col min="4866" max="4866" width="55" style="1962" customWidth="1"/>
    <col min="4867" max="4867" width="11" style="1962" customWidth="1"/>
    <col min="4868" max="4868" width="1.85546875" style="1962" customWidth="1"/>
    <col min="4869" max="4869" width="13.42578125" style="1962" customWidth="1"/>
    <col min="4870" max="4870" width="6.42578125" style="1962" customWidth="1"/>
    <col min="4871" max="4871" width="14" style="1962" customWidth="1"/>
    <col min="4872" max="4872" width="1.85546875" style="1962" customWidth="1"/>
    <col min="4873" max="4873" width="13.5703125" style="1962" customWidth="1"/>
    <col min="4874" max="4874" width="3.85546875" style="1962" customWidth="1"/>
    <col min="4875" max="4875" width="13.140625" style="1962" bestFit="1" customWidth="1"/>
    <col min="4876" max="4876" width="4.140625" style="1962" customWidth="1"/>
    <col min="4877" max="4877" width="13.7109375" style="1962" customWidth="1"/>
    <col min="4878" max="4878" width="5.28515625" style="1962" customWidth="1"/>
    <col min="4879" max="4879" width="11" style="1962" customWidth="1"/>
    <col min="4880" max="4880" width="5.28515625" style="1962" customWidth="1"/>
    <col min="4881" max="4881" width="15.85546875" style="1962" customWidth="1"/>
    <col min="4882" max="4882" width="6.140625" style="1962" customWidth="1"/>
    <col min="4883" max="4883" width="13.85546875" style="1962" customWidth="1"/>
    <col min="4884" max="5120" width="16.7109375" style="1962"/>
    <col min="5121" max="5121" width="6.5703125" style="1962" customWidth="1"/>
    <col min="5122" max="5122" width="55" style="1962" customWidth="1"/>
    <col min="5123" max="5123" width="11" style="1962" customWidth="1"/>
    <col min="5124" max="5124" width="1.85546875" style="1962" customWidth="1"/>
    <col min="5125" max="5125" width="13.42578125" style="1962" customWidth="1"/>
    <col min="5126" max="5126" width="6.42578125" style="1962" customWidth="1"/>
    <col min="5127" max="5127" width="14" style="1962" customWidth="1"/>
    <col min="5128" max="5128" width="1.85546875" style="1962" customWidth="1"/>
    <col min="5129" max="5129" width="13.5703125" style="1962" customWidth="1"/>
    <col min="5130" max="5130" width="3.85546875" style="1962" customWidth="1"/>
    <col min="5131" max="5131" width="13.140625" style="1962" bestFit="1" customWidth="1"/>
    <col min="5132" max="5132" width="4.140625" style="1962" customWidth="1"/>
    <col min="5133" max="5133" width="13.7109375" style="1962" customWidth="1"/>
    <col min="5134" max="5134" width="5.28515625" style="1962" customWidth="1"/>
    <col min="5135" max="5135" width="11" style="1962" customWidth="1"/>
    <col min="5136" max="5136" width="5.28515625" style="1962" customWidth="1"/>
    <col min="5137" max="5137" width="15.85546875" style="1962" customWidth="1"/>
    <col min="5138" max="5138" width="6.140625" style="1962" customWidth="1"/>
    <col min="5139" max="5139" width="13.85546875" style="1962" customWidth="1"/>
    <col min="5140" max="5376" width="16.7109375" style="1962"/>
    <col min="5377" max="5377" width="6.5703125" style="1962" customWidth="1"/>
    <col min="5378" max="5378" width="55" style="1962" customWidth="1"/>
    <col min="5379" max="5379" width="11" style="1962" customWidth="1"/>
    <col min="5380" max="5380" width="1.85546875" style="1962" customWidth="1"/>
    <col min="5381" max="5381" width="13.42578125" style="1962" customWidth="1"/>
    <col min="5382" max="5382" width="6.42578125" style="1962" customWidth="1"/>
    <col min="5383" max="5383" width="14" style="1962" customWidth="1"/>
    <col min="5384" max="5384" width="1.85546875" style="1962" customWidth="1"/>
    <col min="5385" max="5385" width="13.5703125" style="1962" customWidth="1"/>
    <col min="5386" max="5386" width="3.85546875" style="1962" customWidth="1"/>
    <col min="5387" max="5387" width="13.140625" style="1962" bestFit="1" customWidth="1"/>
    <col min="5388" max="5388" width="4.140625" style="1962" customWidth="1"/>
    <col min="5389" max="5389" width="13.7109375" style="1962" customWidth="1"/>
    <col min="5390" max="5390" width="5.28515625" style="1962" customWidth="1"/>
    <col min="5391" max="5391" width="11" style="1962" customWidth="1"/>
    <col min="5392" max="5392" width="5.28515625" style="1962" customWidth="1"/>
    <col min="5393" max="5393" width="15.85546875" style="1962" customWidth="1"/>
    <col min="5394" max="5394" width="6.140625" style="1962" customWidth="1"/>
    <col min="5395" max="5395" width="13.85546875" style="1962" customWidth="1"/>
    <col min="5396" max="5632" width="16.7109375" style="1962"/>
    <col min="5633" max="5633" width="6.5703125" style="1962" customWidth="1"/>
    <col min="5634" max="5634" width="55" style="1962" customWidth="1"/>
    <col min="5635" max="5635" width="11" style="1962" customWidth="1"/>
    <col min="5636" max="5636" width="1.85546875" style="1962" customWidth="1"/>
    <col min="5637" max="5637" width="13.42578125" style="1962" customWidth="1"/>
    <col min="5638" max="5638" width="6.42578125" style="1962" customWidth="1"/>
    <col min="5639" max="5639" width="14" style="1962" customWidth="1"/>
    <col min="5640" max="5640" width="1.85546875" style="1962" customWidth="1"/>
    <col min="5641" max="5641" width="13.5703125" style="1962" customWidth="1"/>
    <col min="5642" max="5642" width="3.85546875" style="1962" customWidth="1"/>
    <col min="5643" max="5643" width="13.140625" style="1962" bestFit="1" customWidth="1"/>
    <col min="5644" max="5644" width="4.140625" style="1962" customWidth="1"/>
    <col min="5645" max="5645" width="13.7109375" style="1962" customWidth="1"/>
    <col min="5646" max="5646" width="5.28515625" style="1962" customWidth="1"/>
    <col min="5647" max="5647" width="11" style="1962" customWidth="1"/>
    <col min="5648" max="5648" width="5.28515625" style="1962" customWidth="1"/>
    <col min="5649" max="5649" width="15.85546875" style="1962" customWidth="1"/>
    <col min="5650" max="5650" width="6.140625" style="1962" customWidth="1"/>
    <col min="5651" max="5651" width="13.85546875" style="1962" customWidth="1"/>
    <col min="5652" max="5888" width="16.7109375" style="1962"/>
    <col min="5889" max="5889" width="6.5703125" style="1962" customWidth="1"/>
    <col min="5890" max="5890" width="55" style="1962" customWidth="1"/>
    <col min="5891" max="5891" width="11" style="1962" customWidth="1"/>
    <col min="5892" max="5892" width="1.85546875" style="1962" customWidth="1"/>
    <col min="5893" max="5893" width="13.42578125" style="1962" customWidth="1"/>
    <col min="5894" max="5894" width="6.42578125" style="1962" customWidth="1"/>
    <col min="5895" max="5895" width="14" style="1962" customWidth="1"/>
    <col min="5896" max="5896" width="1.85546875" style="1962" customWidth="1"/>
    <col min="5897" max="5897" width="13.5703125" style="1962" customWidth="1"/>
    <col min="5898" max="5898" width="3.85546875" style="1962" customWidth="1"/>
    <col min="5899" max="5899" width="13.140625" style="1962" bestFit="1" customWidth="1"/>
    <col min="5900" max="5900" width="4.140625" style="1962" customWidth="1"/>
    <col min="5901" max="5901" width="13.7109375" style="1962" customWidth="1"/>
    <col min="5902" max="5902" width="5.28515625" style="1962" customWidth="1"/>
    <col min="5903" max="5903" width="11" style="1962" customWidth="1"/>
    <col min="5904" max="5904" width="5.28515625" style="1962" customWidth="1"/>
    <col min="5905" max="5905" width="15.85546875" style="1962" customWidth="1"/>
    <col min="5906" max="5906" width="6.140625" style="1962" customWidth="1"/>
    <col min="5907" max="5907" width="13.85546875" style="1962" customWidth="1"/>
    <col min="5908" max="6144" width="16.7109375" style="1962"/>
    <col min="6145" max="6145" width="6.5703125" style="1962" customWidth="1"/>
    <col min="6146" max="6146" width="55" style="1962" customWidth="1"/>
    <col min="6147" max="6147" width="11" style="1962" customWidth="1"/>
    <col min="6148" max="6148" width="1.85546875" style="1962" customWidth="1"/>
    <col min="6149" max="6149" width="13.42578125" style="1962" customWidth="1"/>
    <col min="6150" max="6150" width="6.42578125" style="1962" customWidth="1"/>
    <col min="6151" max="6151" width="14" style="1962" customWidth="1"/>
    <col min="6152" max="6152" width="1.85546875" style="1962" customWidth="1"/>
    <col min="6153" max="6153" width="13.5703125" style="1962" customWidth="1"/>
    <col min="6154" max="6154" width="3.85546875" style="1962" customWidth="1"/>
    <col min="6155" max="6155" width="13.140625" style="1962" bestFit="1" customWidth="1"/>
    <col min="6156" max="6156" width="4.140625" style="1962" customWidth="1"/>
    <col min="6157" max="6157" width="13.7109375" style="1962" customWidth="1"/>
    <col min="6158" max="6158" width="5.28515625" style="1962" customWidth="1"/>
    <col min="6159" max="6159" width="11" style="1962" customWidth="1"/>
    <col min="6160" max="6160" width="5.28515625" style="1962" customWidth="1"/>
    <col min="6161" max="6161" width="15.85546875" style="1962" customWidth="1"/>
    <col min="6162" max="6162" width="6.140625" style="1962" customWidth="1"/>
    <col min="6163" max="6163" width="13.85546875" style="1962" customWidth="1"/>
    <col min="6164" max="6400" width="16.7109375" style="1962"/>
    <col min="6401" max="6401" width="6.5703125" style="1962" customWidth="1"/>
    <col min="6402" max="6402" width="55" style="1962" customWidth="1"/>
    <col min="6403" max="6403" width="11" style="1962" customWidth="1"/>
    <col min="6404" max="6404" width="1.85546875" style="1962" customWidth="1"/>
    <col min="6405" max="6405" width="13.42578125" style="1962" customWidth="1"/>
    <col min="6406" max="6406" width="6.42578125" style="1962" customWidth="1"/>
    <col min="6407" max="6407" width="14" style="1962" customWidth="1"/>
    <col min="6408" max="6408" width="1.85546875" style="1962" customWidth="1"/>
    <col min="6409" max="6409" width="13.5703125" style="1962" customWidth="1"/>
    <col min="6410" max="6410" width="3.85546875" style="1962" customWidth="1"/>
    <col min="6411" max="6411" width="13.140625" style="1962" bestFit="1" customWidth="1"/>
    <col min="6412" max="6412" width="4.140625" style="1962" customWidth="1"/>
    <col min="6413" max="6413" width="13.7109375" style="1962" customWidth="1"/>
    <col min="6414" max="6414" width="5.28515625" style="1962" customWidth="1"/>
    <col min="6415" max="6415" width="11" style="1962" customWidth="1"/>
    <col min="6416" max="6416" width="5.28515625" style="1962" customWidth="1"/>
    <col min="6417" max="6417" width="15.85546875" style="1962" customWidth="1"/>
    <col min="6418" max="6418" width="6.140625" style="1962" customWidth="1"/>
    <col min="6419" max="6419" width="13.85546875" style="1962" customWidth="1"/>
    <col min="6420" max="6656" width="16.7109375" style="1962"/>
    <col min="6657" max="6657" width="6.5703125" style="1962" customWidth="1"/>
    <col min="6658" max="6658" width="55" style="1962" customWidth="1"/>
    <col min="6659" max="6659" width="11" style="1962" customWidth="1"/>
    <col min="6660" max="6660" width="1.85546875" style="1962" customWidth="1"/>
    <col min="6661" max="6661" width="13.42578125" style="1962" customWidth="1"/>
    <col min="6662" max="6662" width="6.42578125" style="1962" customWidth="1"/>
    <col min="6663" max="6663" width="14" style="1962" customWidth="1"/>
    <col min="6664" max="6664" width="1.85546875" style="1962" customWidth="1"/>
    <col min="6665" max="6665" width="13.5703125" style="1962" customWidth="1"/>
    <col min="6666" max="6666" width="3.85546875" style="1962" customWidth="1"/>
    <col min="6667" max="6667" width="13.140625" style="1962" bestFit="1" customWidth="1"/>
    <col min="6668" max="6668" width="4.140625" style="1962" customWidth="1"/>
    <col min="6669" max="6669" width="13.7109375" style="1962" customWidth="1"/>
    <col min="6670" max="6670" width="5.28515625" style="1962" customWidth="1"/>
    <col min="6671" max="6671" width="11" style="1962" customWidth="1"/>
    <col min="6672" max="6672" width="5.28515625" style="1962" customWidth="1"/>
    <col min="6673" max="6673" width="15.85546875" style="1962" customWidth="1"/>
    <col min="6674" max="6674" width="6.140625" style="1962" customWidth="1"/>
    <col min="6675" max="6675" width="13.85546875" style="1962" customWidth="1"/>
    <col min="6676" max="6912" width="16.7109375" style="1962"/>
    <col min="6913" max="6913" width="6.5703125" style="1962" customWidth="1"/>
    <col min="6914" max="6914" width="55" style="1962" customWidth="1"/>
    <col min="6915" max="6915" width="11" style="1962" customWidth="1"/>
    <col min="6916" max="6916" width="1.85546875" style="1962" customWidth="1"/>
    <col min="6917" max="6917" width="13.42578125" style="1962" customWidth="1"/>
    <col min="6918" max="6918" width="6.42578125" style="1962" customWidth="1"/>
    <col min="6919" max="6919" width="14" style="1962" customWidth="1"/>
    <col min="6920" max="6920" width="1.85546875" style="1962" customWidth="1"/>
    <col min="6921" max="6921" width="13.5703125" style="1962" customWidth="1"/>
    <col min="6922" max="6922" width="3.85546875" style="1962" customWidth="1"/>
    <col min="6923" max="6923" width="13.140625" style="1962" bestFit="1" customWidth="1"/>
    <col min="6924" max="6924" width="4.140625" style="1962" customWidth="1"/>
    <col min="6925" max="6925" width="13.7109375" style="1962" customWidth="1"/>
    <col min="6926" max="6926" width="5.28515625" style="1962" customWidth="1"/>
    <col min="6927" max="6927" width="11" style="1962" customWidth="1"/>
    <col min="6928" max="6928" width="5.28515625" style="1962" customWidth="1"/>
    <col min="6929" max="6929" width="15.85546875" style="1962" customWidth="1"/>
    <col min="6930" max="6930" width="6.140625" style="1962" customWidth="1"/>
    <col min="6931" max="6931" width="13.85546875" style="1962" customWidth="1"/>
    <col min="6932" max="7168" width="16.7109375" style="1962"/>
    <col min="7169" max="7169" width="6.5703125" style="1962" customWidth="1"/>
    <col min="7170" max="7170" width="55" style="1962" customWidth="1"/>
    <col min="7171" max="7171" width="11" style="1962" customWidth="1"/>
    <col min="7172" max="7172" width="1.85546875" style="1962" customWidth="1"/>
    <col min="7173" max="7173" width="13.42578125" style="1962" customWidth="1"/>
    <col min="7174" max="7174" width="6.42578125" style="1962" customWidth="1"/>
    <col min="7175" max="7175" width="14" style="1962" customWidth="1"/>
    <col min="7176" max="7176" width="1.85546875" style="1962" customWidth="1"/>
    <col min="7177" max="7177" width="13.5703125" style="1962" customWidth="1"/>
    <col min="7178" max="7178" width="3.85546875" style="1962" customWidth="1"/>
    <col min="7179" max="7179" width="13.140625" style="1962" bestFit="1" customWidth="1"/>
    <col min="7180" max="7180" width="4.140625" style="1962" customWidth="1"/>
    <col min="7181" max="7181" width="13.7109375" style="1962" customWidth="1"/>
    <col min="7182" max="7182" width="5.28515625" style="1962" customWidth="1"/>
    <col min="7183" max="7183" width="11" style="1962" customWidth="1"/>
    <col min="7184" max="7184" width="5.28515625" style="1962" customWidth="1"/>
    <col min="7185" max="7185" width="15.85546875" style="1962" customWidth="1"/>
    <col min="7186" max="7186" width="6.140625" style="1962" customWidth="1"/>
    <col min="7187" max="7187" width="13.85546875" style="1962" customWidth="1"/>
    <col min="7188" max="7424" width="16.7109375" style="1962"/>
    <col min="7425" max="7425" width="6.5703125" style="1962" customWidth="1"/>
    <col min="7426" max="7426" width="55" style="1962" customWidth="1"/>
    <col min="7427" max="7427" width="11" style="1962" customWidth="1"/>
    <col min="7428" max="7428" width="1.85546875" style="1962" customWidth="1"/>
    <col min="7429" max="7429" width="13.42578125" style="1962" customWidth="1"/>
    <col min="7430" max="7430" width="6.42578125" style="1962" customWidth="1"/>
    <col min="7431" max="7431" width="14" style="1962" customWidth="1"/>
    <col min="7432" max="7432" width="1.85546875" style="1962" customWidth="1"/>
    <col min="7433" max="7433" width="13.5703125" style="1962" customWidth="1"/>
    <col min="7434" max="7434" width="3.85546875" style="1962" customWidth="1"/>
    <col min="7435" max="7435" width="13.140625" style="1962" bestFit="1" customWidth="1"/>
    <col min="7436" max="7436" width="4.140625" style="1962" customWidth="1"/>
    <col min="7437" max="7437" width="13.7109375" style="1962" customWidth="1"/>
    <col min="7438" max="7438" width="5.28515625" style="1962" customWidth="1"/>
    <col min="7439" max="7439" width="11" style="1962" customWidth="1"/>
    <col min="7440" max="7440" width="5.28515625" style="1962" customWidth="1"/>
    <col min="7441" max="7441" width="15.85546875" style="1962" customWidth="1"/>
    <col min="7442" max="7442" width="6.140625" style="1962" customWidth="1"/>
    <col min="7443" max="7443" width="13.85546875" style="1962" customWidth="1"/>
    <col min="7444" max="7680" width="16.7109375" style="1962"/>
    <col min="7681" max="7681" width="6.5703125" style="1962" customWidth="1"/>
    <col min="7682" max="7682" width="55" style="1962" customWidth="1"/>
    <col min="7683" max="7683" width="11" style="1962" customWidth="1"/>
    <col min="7684" max="7684" width="1.85546875" style="1962" customWidth="1"/>
    <col min="7685" max="7685" width="13.42578125" style="1962" customWidth="1"/>
    <col min="7686" max="7686" width="6.42578125" style="1962" customWidth="1"/>
    <col min="7687" max="7687" width="14" style="1962" customWidth="1"/>
    <col min="7688" max="7688" width="1.85546875" style="1962" customWidth="1"/>
    <col min="7689" max="7689" width="13.5703125" style="1962" customWidth="1"/>
    <col min="7690" max="7690" width="3.85546875" style="1962" customWidth="1"/>
    <col min="7691" max="7691" width="13.140625" style="1962" bestFit="1" customWidth="1"/>
    <col min="7692" max="7692" width="4.140625" style="1962" customWidth="1"/>
    <col min="7693" max="7693" width="13.7109375" style="1962" customWidth="1"/>
    <col min="7694" max="7694" width="5.28515625" style="1962" customWidth="1"/>
    <col min="7695" max="7695" width="11" style="1962" customWidth="1"/>
    <col min="7696" max="7696" width="5.28515625" style="1962" customWidth="1"/>
    <col min="7697" max="7697" width="15.85546875" style="1962" customWidth="1"/>
    <col min="7698" max="7698" width="6.140625" style="1962" customWidth="1"/>
    <col min="7699" max="7699" width="13.85546875" style="1962" customWidth="1"/>
    <col min="7700" max="7936" width="16.7109375" style="1962"/>
    <col min="7937" max="7937" width="6.5703125" style="1962" customWidth="1"/>
    <col min="7938" max="7938" width="55" style="1962" customWidth="1"/>
    <col min="7939" max="7939" width="11" style="1962" customWidth="1"/>
    <col min="7940" max="7940" width="1.85546875" style="1962" customWidth="1"/>
    <col min="7941" max="7941" width="13.42578125" style="1962" customWidth="1"/>
    <col min="7942" max="7942" width="6.42578125" style="1962" customWidth="1"/>
    <col min="7943" max="7943" width="14" style="1962" customWidth="1"/>
    <col min="7944" max="7944" width="1.85546875" style="1962" customWidth="1"/>
    <col min="7945" max="7945" width="13.5703125" style="1962" customWidth="1"/>
    <col min="7946" max="7946" width="3.85546875" style="1962" customWidth="1"/>
    <col min="7947" max="7947" width="13.140625" style="1962" bestFit="1" customWidth="1"/>
    <col min="7948" max="7948" width="4.140625" style="1962" customWidth="1"/>
    <col min="7949" max="7949" width="13.7109375" style="1962" customWidth="1"/>
    <col min="7950" max="7950" width="5.28515625" style="1962" customWidth="1"/>
    <col min="7951" max="7951" width="11" style="1962" customWidth="1"/>
    <col min="7952" max="7952" width="5.28515625" style="1962" customWidth="1"/>
    <col min="7953" max="7953" width="15.85546875" style="1962" customWidth="1"/>
    <col min="7954" max="7954" width="6.140625" style="1962" customWidth="1"/>
    <col min="7955" max="7955" width="13.85546875" style="1962" customWidth="1"/>
    <col min="7956" max="8192" width="16.7109375" style="1962"/>
    <col min="8193" max="8193" width="6.5703125" style="1962" customWidth="1"/>
    <col min="8194" max="8194" width="55" style="1962" customWidth="1"/>
    <col min="8195" max="8195" width="11" style="1962" customWidth="1"/>
    <col min="8196" max="8196" width="1.85546875" style="1962" customWidth="1"/>
    <col min="8197" max="8197" width="13.42578125" style="1962" customWidth="1"/>
    <col min="8198" max="8198" width="6.42578125" style="1962" customWidth="1"/>
    <col min="8199" max="8199" width="14" style="1962" customWidth="1"/>
    <col min="8200" max="8200" width="1.85546875" style="1962" customWidth="1"/>
    <col min="8201" max="8201" width="13.5703125" style="1962" customWidth="1"/>
    <col min="8202" max="8202" width="3.85546875" style="1962" customWidth="1"/>
    <col min="8203" max="8203" width="13.140625" style="1962" bestFit="1" customWidth="1"/>
    <col min="8204" max="8204" width="4.140625" style="1962" customWidth="1"/>
    <col min="8205" max="8205" width="13.7109375" style="1962" customWidth="1"/>
    <col min="8206" max="8206" width="5.28515625" style="1962" customWidth="1"/>
    <col min="8207" max="8207" width="11" style="1962" customWidth="1"/>
    <col min="8208" max="8208" width="5.28515625" style="1962" customWidth="1"/>
    <col min="8209" max="8209" width="15.85546875" style="1962" customWidth="1"/>
    <col min="8210" max="8210" width="6.140625" style="1962" customWidth="1"/>
    <col min="8211" max="8211" width="13.85546875" style="1962" customWidth="1"/>
    <col min="8212" max="8448" width="16.7109375" style="1962"/>
    <col min="8449" max="8449" width="6.5703125" style="1962" customWidth="1"/>
    <col min="8450" max="8450" width="55" style="1962" customWidth="1"/>
    <col min="8451" max="8451" width="11" style="1962" customWidth="1"/>
    <col min="8452" max="8452" width="1.85546875" style="1962" customWidth="1"/>
    <col min="8453" max="8453" width="13.42578125" style="1962" customWidth="1"/>
    <col min="8454" max="8454" width="6.42578125" style="1962" customWidth="1"/>
    <col min="8455" max="8455" width="14" style="1962" customWidth="1"/>
    <col min="8456" max="8456" width="1.85546875" style="1962" customWidth="1"/>
    <col min="8457" max="8457" width="13.5703125" style="1962" customWidth="1"/>
    <col min="8458" max="8458" width="3.85546875" style="1962" customWidth="1"/>
    <col min="8459" max="8459" width="13.140625" style="1962" bestFit="1" customWidth="1"/>
    <col min="8460" max="8460" width="4.140625" style="1962" customWidth="1"/>
    <col min="8461" max="8461" width="13.7109375" style="1962" customWidth="1"/>
    <col min="8462" max="8462" width="5.28515625" style="1962" customWidth="1"/>
    <col min="8463" max="8463" width="11" style="1962" customWidth="1"/>
    <col min="8464" max="8464" width="5.28515625" style="1962" customWidth="1"/>
    <col min="8465" max="8465" width="15.85546875" style="1962" customWidth="1"/>
    <col min="8466" max="8466" width="6.140625" style="1962" customWidth="1"/>
    <col min="8467" max="8467" width="13.85546875" style="1962" customWidth="1"/>
    <col min="8468" max="8704" width="16.7109375" style="1962"/>
    <col min="8705" max="8705" width="6.5703125" style="1962" customWidth="1"/>
    <col min="8706" max="8706" width="55" style="1962" customWidth="1"/>
    <col min="8707" max="8707" width="11" style="1962" customWidth="1"/>
    <col min="8708" max="8708" width="1.85546875" style="1962" customWidth="1"/>
    <col min="8709" max="8709" width="13.42578125" style="1962" customWidth="1"/>
    <col min="8710" max="8710" width="6.42578125" style="1962" customWidth="1"/>
    <col min="8711" max="8711" width="14" style="1962" customWidth="1"/>
    <col min="8712" max="8712" width="1.85546875" style="1962" customWidth="1"/>
    <col min="8713" max="8713" width="13.5703125" style="1962" customWidth="1"/>
    <col min="8714" max="8714" width="3.85546875" style="1962" customWidth="1"/>
    <col min="8715" max="8715" width="13.140625" style="1962" bestFit="1" customWidth="1"/>
    <col min="8716" max="8716" width="4.140625" style="1962" customWidth="1"/>
    <col min="8717" max="8717" width="13.7109375" style="1962" customWidth="1"/>
    <col min="8718" max="8718" width="5.28515625" style="1962" customWidth="1"/>
    <col min="8719" max="8719" width="11" style="1962" customWidth="1"/>
    <col min="8720" max="8720" width="5.28515625" style="1962" customWidth="1"/>
    <col min="8721" max="8721" width="15.85546875" style="1962" customWidth="1"/>
    <col min="8722" max="8722" width="6.140625" style="1962" customWidth="1"/>
    <col min="8723" max="8723" width="13.85546875" style="1962" customWidth="1"/>
    <col min="8724" max="8960" width="16.7109375" style="1962"/>
    <col min="8961" max="8961" width="6.5703125" style="1962" customWidth="1"/>
    <col min="8962" max="8962" width="55" style="1962" customWidth="1"/>
    <col min="8963" max="8963" width="11" style="1962" customWidth="1"/>
    <col min="8964" max="8964" width="1.85546875" style="1962" customWidth="1"/>
    <col min="8965" max="8965" width="13.42578125" style="1962" customWidth="1"/>
    <col min="8966" max="8966" width="6.42578125" style="1962" customWidth="1"/>
    <col min="8967" max="8967" width="14" style="1962" customWidth="1"/>
    <col min="8968" max="8968" width="1.85546875" style="1962" customWidth="1"/>
    <col min="8969" max="8969" width="13.5703125" style="1962" customWidth="1"/>
    <col min="8970" max="8970" width="3.85546875" style="1962" customWidth="1"/>
    <col min="8971" max="8971" width="13.140625" style="1962" bestFit="1" customWidth="1"/>
    <col min="8972" max="8972" width="4.140625" style="1962" customWidth="1"/>
    <col min="8973" max="8973" width="13.7109375" style="1962" customWidth="1"/>
    <col min="8974" max="8974" width="5.28515625" style="1962" customWidth="1"/>
    <col min="8975" max="8975" width="11" style="1962" customWidth="1"/>
    <col min="8976" max="8976" width="5.28515625" style="1962" customWidth="1"/>
    <col min="8977" max="8977" width="15.85546875" style="1962" customWidth="1"/>
    <col min="8978" max="8978" width="6.140625" style="1962" customWidth="1"/>
    <col min="8979" max="8979" width="13.85546875" style="1962" customWidth="1"/>
    <col min="8980" max="9216" width="16.7109375" style="1962"/>
    <col min="9217" max="9217" width="6.5703125" style="1962" customWidth="1"/>
    <col min="9218" max="9218" width="55" style="1962" customWidth="1"/>
    <col min="9219" max="9219" width="11" style="1962" customWidth="1"/>
    <col min="9220" max="9220" width="1.85546875" style="1962" customWidth="1"/>
    <col min="9221" max="9221" width="13.42578125" style="1962" customWidth="1"/>
    <col min="9222" max="9222" width="6.42578125" style="1962" customWidth="1"/>
    <col min="9223" max="9223" width="14" style="1962" customWidth="1"/>
    <col min="9224" max="9224" width="1.85546875" style="1962" customWidth="1"/>
    <col min="9225" max="9225" width="13.5703125" style="1962" customWidth="1"/>
    <col min="9226" max="9226" width="3.85546875" style="1962" customWidth="1"/>
    <col min="9227" max="9227" width="13.140625" style="1962" bestFit="1" customWidth="1"/>
    <col min="9228" max="9228" width="4.140625" style="1962" customWidth="1"/>
    <col min="9229" max="9229" width="13.7109375" style="1962" customWidth="1"/>
    <col min="9230" max="9230" width="5.28515625" style="1962" customWidth="1"/>
    <col min="9231" max="9231" width="11" style="1962" customWidth="1"/>
    <col min="9232" max="9232" width="5.28515625" style="1962" customWidth="1"/>
    <col min="9233" max="9233" width="15.85546875" style="1962" customWidth="1"/>
    <col min="9234" max="9234" width="6.140625" style="1962" customWidth="1"/>
    <col min="9235" max="9235" width="13.85546875" style="1962" customWidth="1"/>
    <col min="9236" max="9472" width="16.7109375" style="1962"/>
    <col min="9473" max="9473" width="6.5703125" style="1962" customWidth="1"/>
    <col min="9474" max="9474" width="55" style="1962" customWidth="1"/>
    <col min="9475" max="9475" width="11" style="1962" customWidth="1"/>
    <col min="9476" max="9476" width="1.85546875" style="1962" customWidth="1"/>
    <col min="9477" max="9477" width="13.42578125" style="1962" customWidth="1"/>
    <col min="9478" max="9478" width="6.42578125" style="1962" customWidth="1"/>
    <col min="9479" max="9479" width="14" style="1962" customWidth="1"/>
    <col min="9480" max="9480" width="1.85546875" style="1962" customWidth="1"/>
    <col min="9481" max="9481" width="13.5703125" style="1962" customWidth="1"/>
    <col min="9482" max="9482" width="3.85546875" style="1962" customWidth="1"/>
    <col min="9483" max="9483" width="13.140625" style="1962" bestFit="1" customWidth="1"/>
    <col min="9484" max="9484" width="4.140625" style="1962" customWidth="1"/>
    <col min="9485" max="9485" width="13.7109375" style="1962" customWidth="1"/>
    <col min="9486" max="9486" width="5.28515625" style="1962" customWidth="1"/>
    <col min="9487" max="9487" width="11" style="1962" customWidth="1"/>
    <col min="9488" max="9488" width="5.28515625" style="1962" customWidth="1"/>
    <col min="9489" max="9489" width="15.85546875" style="1962" customWidth="1"/>
    <col min="9490" max="9490" width="6.140625" style="1962" customWidth="1"/>
    <col min="9491" max="9491" width="13.85546875" style="1962" customWidth="1"/>
    <col min="9492" max="9728" width="16.7109375" style="1962"/>
    <col min="9729" max="9729" width="6.5703125" style="1962" customWidth="1"/>
    <col min="9730" max="9730" width="55" style="1962" customWidth="1"/>
    <col min="9731" max="9731" width="11" style="1962" customWidth="1"/>
    <col min="9732" max="9732" width="1.85546875" style="1962" customWidth="1"/>
    <col min="9733" max="9733" width="13.42578125" style="1962" customWidth="1"/>
    <col min="9734" max="9734" width="6.42578125" style="1962" customWidth="1"/>
    <col min="9735" max="9735" width="14" style="1962" customWidth="1"/>
    <col min="9736" max="9736" width="1.85546875" style="1962" customWidth="1"/>
    <col min="9737" max="9737" width="13.5703125" style="1962" customWidth="1"/>
    <col min="9738" max="9738" width="3.85546875" style="1962" customWidth="1"/>
    <col min="9739" max="9739" width="13.140625" style="1962" bestFit="1" customWidth="1"/>
    <col min="9740" max="9740" width="4.140625" style="1962" customWidth="1"/>
    <col min="9741" max="9741" width="13.7109375" style="1962" customWidth="1"/>
    <col min="9742" max="9742" width="5.28515625" style="1962" customWidth="1"/>
    <col min="9743" max="9743" width="11" style="1962" customWidth="1"/>
    <col min="9744" max="9744" width="5.28515625" style="1962" customWidth="1"/>
    <col min="9745" max="9745" width="15.85546875" style="1962" customWidth="1"/>
    <col min="9746" max="9746" width="6.140625" style="1962" customWidth="1"/>
    <col min="9747" max="9747" width="13.85546875" style="1962" customWidth="1"/>
    <col min="9748" max="9984" width="16.7109375" style="1962"/>
    <col min="9985" max="9985" width="6.5703125" style="1962" customWidth="1"/>
    <col min="9986" max="9986" width="55" style="1962" customWidth="1"/>
    <col min="9987" max="9987" width="11" style="1962" customWidth="1"/>
    <col min="9988" max="9988" width="1.85546875" style="1962" customWidth="1"/>
    <col min="9989" max="9989" width="13.42578125" style="1962" customWidth="1"/>
    <col min="9990" max="9990" width="6.42578125" style="1962" customWidth="1"/>
    <col min="9991" max="9991" width="14" style="1962" customWidth="1"/>
    <col min="9992" max="9992" width="1.85546875" style="1962" customWidth="1"/>
    <col min="9993" max="9993" width="13.5703125" style="1962" customWidth="1"/>
    <col min="9994" max="9994" width="3.85546875" style="1962" customWidth="1"/>
    <col min="9995" max="9995" width="13.140625" style="1962" bestFit="1" customWidth="1"/>
    <col min="9996" max="9996" width="4.140625" style="1962" customWidth="1"/>
    <col min="9997" max="9997" width="13.7109375" style="1962" customWidth="1"/>
    <col min="9998" max="9998" width="5.28515625" style="1962" customWidth="1"/>
    <col min="9999" max="9999" width="11" style="1962" customWidth="1"/>
    <col min="10000" max="10000" width="5.28515625" style="1962" customWidth="1"/>
    <col min="10001" max="10001" width="15.85546875" style="1962" customWidth="1"/>
    <col min="10002" max="10002" width="6.140625" style="1962" customWidth="1"/>
    <col min="10003" max="10003" width="13.85546875" style="1962" customWidth="1"/>
    <col min="10004" max="10240" width="16.7109375" style="1962"/>
    <col min="10241" max="10241" width="6.5703125" style="1962" customWidth="1"/>
    <col min="10242" max="10242" width="55" style="1962" customWidth="1"/>
    <col min="10243" max="10243" width="11" style="1962" customWidth="1"/>
    <col min="10244" max="10244" width="1.85546875" style="1962" customWidth="1"/>
    <col min="10245" max="10245" width="13.42578125" style="1962" customWidth="1"/>
    <col min="10246" max="10246" width="6.42578125" style="1962" customWidth="1"/>
    <col min="10247" max="10247" width="14" style="1962" customWidth="1"/>
    <col min="10248" max="10248" width="1.85546875" style="1962" customWidth="1"/>
    <col min="10249" max="10249" width="13.5703125" style="1962" customWidth="1"/>
    <col min="10250" max="10250" width="3.85546875" style="1962" customWidth="1"/>
    <col min="10251" max="10251" width="13.140625" style="1962" bestFit="1" customWidth="1"/>
    <col min="10252" max="10252" width="4.140625" style="1962" customWidth="1"/>
    <col min="10253" max="10253" width="13.7109375" style="1962" customWidth="1"/>
    <col min="10254" max="10254" width="5.28515625" style="1962" customWidth="1"/>
    <col min="10255" max="10255" width="11" style="1962" customWidth="1"/>
    <col min="10256" max="10256" width="5.28515625" style="1962" customWidth="1"/>
    <col min="10257" max="10257" width="15.85546875" style="1962" customWidth="1"/>
    <col min="10258" max="10258" width="6.140625" style="1962" customWidth="1"/>
    <col min="10259" max="10259" width="13.85546875" style="1962" customWidth="1"/>
    <col min="10260" max="10496" width="16.7109375" style="1962"/>
    <col min="10497" max="10497" width="6.5703125" style="1962" customWidth="1"/>
    <col min="10498" max="10498" width="55" style="1962" customWidth="1"/>
    <col min="10499" max="10499" width="11" style="1962" customWidth="1"/>
    <col min="10500" max="10500" width="1.85546875" style="1962" customWidth="1"/>
    <col min="10501" max="10501" width="13.42578125" style="1962" customWidth="1"/>
    <col min="10502" max="10502" width="6.42578125" style="1962" customWidth="1"/>
    <col min="10503" max="10503" width="14" style="1962" customWidth="1"/>
    <col min="10504" max="10504" width="1.85546875" style="1962" customWidth="1"/>
    <col min="10505" max="10505" width="13.5703125" style="1962" customWidth="1"/>
    <col min="10506" max="10506" width="3.85546875" style="1962" customWidth="1"/>
    <col min="10507" max="10507" width="13.140625" style="1962" bestFit="1" customWidth="1"/>
    <col min="10508" max="10508" width="4.140625" style="1962" customWidth="1"/>
    <col min="10509" max="10509" width="13.7109375" style="1962" customWidth="1"/>
    <col min="10510" max="10510" width="5.28515625" style="1962" customWidth="1"/>
    <col min="10511" max="10511" width="11" style="1962" customWidth="1"/>
    <col min="10512" max="10512" width="5.28515625" style="1962" customWidth="1"/>
    <col min="10513" max="10513" width="15.85546875" style="1962" customWidth="1"/>
    <col min="10514" max="10514" width="6.140625" style="1962" customWidth="1"/>
    <col min="10515" max="10515" width="13.85546875" style="1962" customWidth="1"/>
    <col min="10516" max="10752" width="16.7109375" style="1962"/>
    <col min="10753" max="10753" width="6.5703125" style="1962" customWidth="1"/>
    <col min="10754" max="10754" width="55" style="1962" customWidth="1"/>
    <col min="10755" max="10755" width="11" style="1962" customWidth="1"/>
    <col min="10756" max="10756" width="1.85546875" style="1962" customWidth="1"/>
    <col min="10757" max="10757" width="13.42578125" style="1962" customWidth="1"/>
    <col min="10758" max="10758" width="6.42578125" style="1962" customWidth="1"/>
    <col min="10759" max="10759" width="14" style="1962" customWidth="1"/>
    <col min="10760" max="10760" width="1.85546875" style="1962" customWidth="1"/>
    <col min="10761" max="10761" width="13.5703125" style="1962" customWidth="1"/>
    <col min="10762" max="10762" width="3.85546875" style="1962" customWidth="1"/>
    <col min="10763" max="10763" width="13.140625" style="1962" bestFit="1" customWidth="1"/>
    <col min="10764" max="10764" width="4.140625" style="1962" customWidth="1"/>
    <col min="10765" max="10765" width="13.7109375" style="1962" customWidth="1"/>
    <col min="10766" max="10766" width="5.28515625" style="1962" customWidth="1"/>
    <col min="10767" max="10767" width="11" style="1962" customWidth="1"/>
    <col min="10768" max="10768" width="5.28515625" style="1962" customWidth="1"/>
    <col min="10769" max="10769" width="15.85546875" style="1962" customWidth="1"/>
    <col min="10770" max="10770" width="6.140625" style="1962" customWidth="1"/>
    <col min="10771" max="10771" width="13.85546875" style="1962" customWidth="1"/>
    <col min="10772" max="11008" width="16.7109375" style="1962"/>
    <col min="11009" max="11009" width="6.5703125" style="1962" customWidth="1"/>
    <col min="11010" max="11010" width="55" style="1962" customWidth="1"/>
    <col min="11011" max="11011" width="11" style="1962" customWidth="1"/>
    <col min="11012" max="11012" width="1.85546875" style="1962" customWidth="1"/>
    <col min="11013" max="11013" width="13.42578125" style="1962" customWidth="1"/>
    <col min="11014" max="11014" width="6.42578125" style="1962" customWidth="1"/>
    <col min="11015" max="11015" width="14" style="1962" customWidth="1"/>
    <col min="11016" max="11016" width="1.85546875" style="1962" customWidth="1"/>
    <col min="11017" max="11017" width="13.5703125" style="1962" customWidth="1"/>
    <col min="11018" max="11018" width="3.85546875" style="1962" customWidth="1"/>
    <col min="11019" max="11019" width="13.140625" style="1962" bestFit="1" customWidth="1"/>
    <col min="11020" max="11020" width="4.140625" style="1962" customWidth="1"/>
    <col min="11021" max="11021" width="13.7109375" style="1962" customWidth="1"/>
    <col min="11022" max="11022" width="5.28515625" style="1962" customWidth="1"/>
    <col min="11023" max="11023" width="11" style="1962" customWidth="1"/>
    <col min="11024" max="11024" width="5.28515625" style="1962" customWidth="1"/>
    <col min="11025" max="11025" width="15.85546875" style="1962" customWidth="1"/>
    <col min="11026" max="11026" width="6.140625" style="1962" customWidth="1"/>
    <col min="11027" max="11027" width="13.85546875" style="1962" customWidth="1"/>
    <col min="11028" max="11264" width="16.7109375" style="1962"/>
    <col min="11265" max="11265" width="6.5703125" style="1962" customWidth="1"/>
    <col min="11266" max="11266" width="55" style="1962" customWidth="1"/>
    <col min="11267" max="11267" width="11" style="1962" customWidth="1"/>
    <col min="11268" max="11268" width="1.85546875" style="1962" customWidth="1"/>
    <col min="11269" max="11269" width="13.42578125" style="1962" customWidth="1"/>
    <col min="11270" max="11270" width="6.42578125" style="1962" customWidth="1"/>
    <col min="11271" max="11271" width="14" style="1962" customWidth="1"/>
    <col min="11272" max="11272" width="1.85546875" style="1962" customWidth="1"/>
    <col min="11273" max="11273" width="13.5703125" style="1962" customWidth="1"/>
    <col min="11274" max="11274" width="3.85546875" style="1962" customWidth="1"/>
    <col min="11275" max="11275" width="13.140625" style="1962" bestFit="1" customWidth="1"/>
    <col min="11276" max="11276" width="4.140625" style="1962" customWidth="1"/>
    <col min="11277" max="11277" width="13.7109375" style="1962" customWidth="1"/>
    <col min="11278" max="11278" width="5.28515625" style="1962" customWidth="1"/>
    <col min="11279" max="11279" width="11" style="1962" customWidth="1"/>
    <col min="11280" max="11280" width="5.28515625" style="1962" customWidth="1"/>
    <col min="11281" max="11281" width="15.85546875" style="1962" customWidth="1"/>
    <col min="11282" max="11282" width="6.140625" style="1962" customWidth="1"/>
    <col min="11283" max="11283" width="13.85546875" style="1962" customWidth="1"/>
    <col min="11284" max="11520" width="16.7109375" style="1962"/>
    <col min="11521" max="11521" width="6.5703125" style="1962" customWidth="1"/>
    <col min="11522" max="11522" width="55" style="1962" customWidth="1"/>
    <col min="11523" max="11523" width="11" style="1962" customWidth="1"/>
    <col min="11524" max="11524" width="1.85546875" style="1962" customWidth="1"/>
    <col min="11525" max="11525" width="13.42578125" style="1962" customWidth="1"/>
    <col min="11526" max="11526" width="6.42578125" style="1962" customWidth="1"/>
    <col min="11527" max="11527" width="14" style="1962" customWidth="1"/>
    <col min="11528" max="11528" width="1.85546875" style="1962" customWidth="1"/>
    <col min="11529" max="11529" width="13.5703125" style="1962" customWidth="1"/>
    <col min="11530" max="11530" width="3.85546875" style="1962" customWidth="1"/>
    <col min="11531" max="11531" width="13.140625" style="1962" bestFit="1" customWidth="1"/>
    <col min="11532" max="11532" width="4.140625" style="1962" customWidth="1"/>
    <col min="11533" max="11533" width="13.7109375" style="1962" customWidth="1"/>
    <col min="11534" max="11534" width="5.28515625" style="1962" customWidth="1"/>
    <col min="11535" max="11535" width="11" style="1962" customWidth="1"/>
    <col min="11536" max="11536" width="5.28515625" style="1962" customWidth="1"/>
    <col min="11537" max="11537" width="15.85546875" style="1962" customWidth="1"/>
    <col min="11538" max="11538" width="6.140625" style="1962" customWidth="1"/>
    <col min="11539" max="11539" width="13.85546875" style="1962" customWidth="1"/>
    <col min="11540" max="11776" width="16.7109375" style="1962"/>
    <col min="11777" max="11777" width="6.5703125" style="1962" customWidth="1"/>
    <col min="11778" max="11778" width="55" style="1962" customWidth="1"/>
    <col min="11779" max="11779" width="11" style="1962" customWidth="1"/>
    <col min="11780" max="11780" width="1.85546875" style="1962" customWidth="1"/>
    <col min="11781" max="11781" width="13.42578125" style="1962" customWidth="1"/>
    <col min="11782" max="11782" width="6.42578125" style="1962" customWidth="1"/>
    <col min="11783" max="11783" width="14" style="1962" customWidth="1"/>
    <col min="11784" max="11784" width="1.85546875" style="1962" customWidth="1"/>
    <col min="11785" max="11785" width="13.5703125" style="1962" customWidth="1"/>
    <col min="11786" max="11786" width="3.85546875" style="1962" customWidth="1"/>
    <col min="11787" max="11787" width="13.140625" style="1962" bestFit="1" customWidth="1"/>
    <col min="11788" max="11788" width="4.140625" style="1962" customWidth="1"/>
    <col min="11789" max="11789" width="13.7109375" style="1962" customWidth="1"/>
    <col min="11790" max="11790" width="5.28515625" style="1962" customWidth="1"/>
    <col min="11791" max="11791" width="11" style="1962" customWidth="1"/>
    <col min="11792" max="11792" width="5.28515625" style="1962" customWidth="1"/>
    <col min="11793" max="11793" width="15.85546875" style="1962" customWidth="1"/>
    <col min="11794" max="11794" width="6.140625" style="1962" customWidth="1"/>
    <col min="11795" max="11795" width="13.85546875" style="1962" customWidth="1"/>
    <col min="11796" max="12032" width="16.7109375" style="1962"/>
    <col min="12033" max="12033" width="6.5703125" style="1962" customWidth="1"/>
    <col min="12034" max="12034" width="55" style="1962" customWidth="1"/>
    <col min="12035" max="12035" width="11" style="1962" customWidth="1"/>
    <col min="12036" max="12036" width="1.85546875" style="1962" customWidth="1"/>
    <col min="12037" max="12037" width="13.42578125" style="1962" customWidth="1"/>
    <col min="12038" max="12038" width="6.42578125" style="1962" customWidth="1"/>
    <col min="12039" max="12039" width="14" style="1962" customWidth="1"/>
    <col min="12040" max="12040" width="1.85546875" style="1962" customWidth="1"/>
    <col min="12041" max="12041" width="13.5703125" style="1962" customWidth="1"/>
    <col min="12042" max="12042" width="3.85546875" style="1962" customWidth="1"/>
    <col min="12043" max="12043" width="13.140625" style="1962" bestFit="1" customWidth="1"/>
    <col min="12044" max="12044" width="4.140625" style="1962" customWidth="1"/>
    <col min="12045" max="12045" width="13.7109375" style="1962" customWidth="1"/>
    <col min="12046" max="12046" width="5.28515625" style="1962" customWidth="1"/>
    <col min="12047" max="12047" width="11" style="1962" customWidth="1"/>
    <col min="12048" max="12048" width="5.28515625" style="1962" customWidth="1"/>
    <col min="12049" max="12049" width="15.85546875" style="1962" customWidth="1"/>
    <col min="12050" max="12050" width="6.140625" style="1962" customWidth="1"/>
    <col min="12051" max="12051" width="13.85546875" style="1962" customWidth="1"/>
    <col min="12052" max="12288" width="16.7109375" style="1962"/>
    <col min="12289" max="12289" width="6.5703125" style="1962" customWidth="1"/>
    <col min="12290" max="12290" width="55" style="1962" customWidth="1"/>
    <col min="12291" max="12291" width="11" style="1962" customWidth="1"/>
    <col min="12292" max="12292" width="1.85546875" style="1962" customWidth="1"/>
    <col min="12293" max="12293" width="13.42578125" style="1962" customWidth="1"/>
    <col min="12294" max="12294" width="6.42578125" style="1962" customWidth="1"/>
    <col min="12295" max="12295" width="14" style="1962" customWidth="1"/>
    <col min="12296" max="12296" width="1.85546875" style="1962" customWidth="1"/>
    <col min="12297" max="12297" width="13.5703125" style="1962" customWidth="1"/>
    <col min="12298" max="12298" width="3.85546875" style="1962" customWidth="1"/>
    <col min="12299" max="12299" width="13.140625" style="1962" bestFit="1" customWidth="1"/>
    <col min="12300" max="12300" width="4.140625" style="1962" customWidth="1"/>
    <col min="12301" max="12301" width="13.7109375" style="1962" customWidth="1"/>
    <col min="12302" max="12302" width="5.28515625" style="1962" customWidth="1"/>
    <col min="12303" max="12303" width="11" style="1962" customWidth="1"/>
    <col min="12304" max="12304" width="5.28515625" style="1962" customWidth="1"/>
    <col min="12305" max="12305" width="15.85546875" style="1962" customWidth="1"/>
    <col min="12306" max="12306" width="6.140625" style="1962" customWidth="1"/>
    <col min="12307" max="12307" width="13.85546875" style="1962" customWidth="1"/>
    <col min="12308" max="12544" width="16.7109375" style="1962"/>
    <col min="12545" max="12545" width="6.5703125" style="1962" customWidth="1"/>
    <col min="12546" max="12546" width="55" style="1962" customWidth="1"/>
    <col min="12547" max="12547" width="11" style="1962" customWidth="1"/>
    <col min="12548" max="12548" width="1.85546875" style="1962" customWidth="1"/>
    <col min="12549" max="12549" width="13.42578125" style="1962" customWidth="1"/>
    <col min="12550" max="12550" width="6.42578125" style="1962" customWidth="1"/>
    <col min="12551" max="12551" width="14" style="1962" customWidth="1"/>
    <col min="12552" max="12552" width="1.85546875" style="1962" customWidth="1"/>
    <col min="12553" max="12553" width="13.5703125" style="1962" customWidth="1"/>
    <col min="12554" max="12554" width="3.85546875" style="1962" customWidth="1"/>
    <col min="12555" max="12555" width="13.140625" style="1962" bestFit="1" customWidth="1"/>
    <col min="12556" max="12556" width="4.140625" style="1962" customWidth="1"/>
    <col min="12557" max="12557" width="13.7109375" style="1962" customWidth="1"/>
    <col min="12558" max="12558" width="5.28515625" style="1962" customWidth="1"/>
    <col min="12559" max="12559" width="11" style="1962" customWidth="1"/>
    <col min="12560" max="12560" width="5.28515625" style="1962" customWidth="1"/>
    <col min="12561" max="12561" width="15.85546875" style="1962" customWidth="1"/>
    <col min="12562" max="12562" width="6.140625" style="1962" customWidth="1"/>
    <col min="12563" max="12563" width="13.85546875" style="1962" customWidth="1"/>
    <col min="12564" max="12800" width="16.7109375" style="1962"/>
    <col min="12801" max="12801" width="6.5703125" style="1962" customWidth="1"/>
    <col min="12802" max="12802" width="55" style="1962" customWidth="1"/>
    <col min="12803" max="12803" width="11" style="1962" customWidth="1"/>
    <col min="12804" max="12804" width="1.85546875" style="1962" customWidth="1"/>
    <col min="12805" max="12805" width="13.42578125" style="1962" customWidth="1"/>
    <col min="12806" max="12806" width="6.42578125" style="1962" customWidth="1"/>
    <col min="12807" max="12807" width="14" style="1962" customWidth="1"/>
    <col min="12808" max="12808" width="1.85546875" style="1962" customWidth="1"/>
    <col min="12809" max="12809" width="13.5703125" style="1962" customWidth="1"/>
    <col min="12810" max="12810" width="3.85546875" style="1962" customWidth="1"/>
    <col min="12811" max="12811" width="13.140625" style="1962" bestFit="1" customWidth="1"/>
    <col min="12812" max="12812" width="4.140625" style="1962" customWidth="1"/>
    <col min="12813" max="12813" width="13.7109375" style="1962" customWidth="1"/>
    <col min="12814" max="12814" width="5.28515625" style="1962" customWidth="1"/>
    <col min="12815" max="12815" width="11" style="1962" customWidth="1"/>
    <col min="12816" max="12816" width="5.28515625" style="1962" customWidth="1"/>
    <col min="12817" max="12817" width="15.85546875" style="1962" customWidth="1"/>
    <col min="12818" max="12818" width="6.140625" style="1962" customWidth="1"/>
    <col min="12819" max="12819" width="13.85546875" style="1962" customWidth="1"/>
    <col min="12820" max="13056" width="16.7109375" style="1962"/>
    <col min="13057" max="13057" width="6.5703125" style="1962" customWidth="1"/>
    <col min="13058" max="13058" width="55" style="1962" customWidth="1"/>
    <col min="13059" max="13059" width="11" style="1962" customWidth="1"/>
    <col min="13060" max="13060" width="1.85546875" style="1962" customWidth="1"/>
    <col min="13061" max="13061" width="13.42578125" style="1962" customWidth="1"/>
    <col min="13062" max="13062" width="6.42578125" style="1962" customWidth="1"/>
    <col min="13063" max="13063" width="14" style="1962" customWidth="1"/>
    <col min="13064" max="13064" width="1.85546875" style="1962" customWidth="1"/>
    <col min="13065" max="13065" width="13.5703125" style="1962" customWidth="1"/>
    <col min="13066" max="13066" width="3.85546875" style="1962" customWidth="1"/>
    <col min="13067" max="13067" width="13.140625" style="1962" bestFit="1" customWidth="1"/>
    <col min="13068" max="13068" width="4.140625" style="1962" customWidth="1"/>
    <col min="13069" max="13069" width="13.7109375" style="1962" customWidth="1"/>
    <col min="13070" max="13070" width="5.28515625" style="1962" customWidth="1"/>
    <col min="13071" max="13071" width="11" style="1962" customWidth="1"/>
    <col min="13072" max="13072" width="5.28515625" style="1962" customWidth="1"/>
    <col min="13073" max="13073" width="15.85546875" style="1962" customWidth="1"/>
    <col min="13074" max="13074" width="6.140625" style="1962" customWidth="1"/>
    <col min="13075" max="13075" width="13.85546875" style="1962" customWidth="1"/>
    <col min="13076" max="13312" width="16.7109375" style="1962"/>
    <col min="13313" max="13313" width="6.5703125" style="1962" customWidth="1"/>
    <col min="13314" max="13314" width="55" style="1962" customWidth="1"/>
    <col min="13315" max="13315" width="11" style="1962" customWidth="1"/>
    <col min="13316" max="13316" width="1.85546875" style="1962" customWidth="1"/>
    <col min="13317" max="13317" width="13.42578125" style="1962" customWidth="1"/>
    <col min="13318" max="13318" width="6.42578125" style="1962" customWidth="1"/>
    <col min="13319" max="13319" width="14" style="1962" customWidth="1"/>
    <col min="13320" max="13320" width="1.85546875" style="1962" customWidth="1"/>
    <col min="13321" max="13321" width="13.5703125" style="1962" customWidth="1"/>
    <col min="13322" max="13322" width="3.85546875" style="1962" customWidth="1"/>
    <col min="13323" max="13323" width="13.140625" style="1962" bestFit="1" customWidth="1"/>
    <col min="13324" max="13324" width="4.140625" style="1962" customWidth="1"/>
    <col min="13325" max="13325" width="13.7109375" style="1962" customWidth="1"/>
    <col min="13326" max="13326" width="5.28515625" style="1962" customWidth="1"/>
    <col min="13327" max="13327" width="11" style="1962" customWidth="1"/>
    <col min="13328" max="13328" width="5.28515625" style="1962" customWidth="1"/>
    <col min="13329" max="13329" width="15.85546875" style="1962" customWidth="1"/>
    <col min="13330" max="13330" width="6.140625" style="1962" customWidth="1"/>
    <col min="13331" max="13331" width="13.85546875" style="1962" customWidth="1"/>
    <col min="13332" max="13568" width="16.7109375" style="1962"/>
    <col min="13569" max="13569" width="6.5703125" style="1962" customWidth="1"/>
    <col min="13570" max="13570" width="55" style="1962" customWidth="1"/>
    <col min="13571" max="13571" width="11" style="1962" customWidth="1"/>
    <col min="13572" max="13572" width="1.85546875" style="1962" customWidth="1"/>
    <col min="13573" max="13573" width="13.42578125" style="1962" customWidth="1"/>
    <col min="13574" max="13574" width="6.42578125" style="1962" customWidth="1"/>
    <col min="13575" max="13575" width="14" style="1962" customWidth="1"/>
    <col min="13576" max="13576" width="1.85546875" style="1962" customWidth="1"/>
    <col min="13577" max="13577" width="13.5703125" style="1962" customWidth="1"/>
    <col min="13578" max="13578" width="3.85546875" style="1962" customWidth="1"/>
    <col min="13579" max="13579" width="13.140625" style="1962" bestFit="1" customWidth="1"/>
    <col min="13580" max="13580" width="4.140625" style="1962" customWidth="1"/>
    <col min="13581" max="13581" width="13.7109375" style="1962" customWidth="1"/>
    <col min="13582" max="13582" width="5.28515625" style="1962" customWidth="1"/>
    <col min="13583" max="13583" width="11" style="1962" customWidth="1"/>
    <col min="13584" max="13584" width="5.28515625" style="1962" customWidth="1"/>
    <col min="13585" max="13585" width="15.85546875" style="1962" customWidth="1"/>
    <col min="13586" max="13586" width="6.140625" style="1962" customWidth="1"/>
    <col min="13587" max="13587" width="13.85546875" style="1962" customWidth="1"/>
    <col min="13588" max="13824" width="16.7109375" style="1962"/>
    <col min="13825" max="13825" width="6.5703125" style="1962" customWidth="1"/>
    <col min="13826" max="13826" width="55" style="1962" customWidth="1"/>
    <col min="13827" max="13827" width="11" style="1962" customWidth="1"/>
    <col min="13828" max="13828" width="1.85546875" style="1962" customWidth="1"/>
    <col min="13829" max="13829" width="13.42578125" style="1962" customWidth="1"/>
    <col min="13830" max="13830" width="6.42578125" style="1962" customWidth="1"/>
    <col min="13831" max="13831" width="14" style="1962" customWidth="1"/>
    <col min="13832" max="13832" width="1.85546875" style="1962" customWidth="1"/>
    <col min="13833" max="13833" width="13.5703125" style="1962" customWidth="1"/>
    <col min="13834" max="13834" width="3.85546875" style="1962" customWidth="1"/>
    <col min="13835" max="13835" width="13.140625" style="1962" bestFit="1" customWidth="1"/>
    <col min="13836" max="13836" width="4.140625" style="1962" customWidth="1"/>
    <col min="13837" max="13837" width="13.7109375" style="1962" customWidth="1"/>
    <col min="13838" max="13838" width="5.28515625" style="1962" customWidth="1"/>
    <col min="13839" max="13839" width="11" style="1962" customWidth="1"/>
    <col min="13840" max="13840" width="5.28515625" style="1962" customWidth="1"/>
    <col min="13841" max="13841" width="15.85546875" style="1962" customWidth="1"/>
    <col min="13842" max="13842" width="6.140625" style="1962" customWidth="1"/>
    <col min="13843" max="13843" width="13.85546875" style="1962" customWidth="1"/>
    <col min="13844" max="14080" width="16.7109375" style="1962"/>
    <col min="14081" max="14081" width="6.5703125" style="1962" customWidth="1"/>
    <col min="14082" max="14082" width="55" style="1962" customWidth="1"/>
    <col min="14083" max="14083" width="11" style="1962" customWidth="1"/>
    <col min="14084" max="14084" width="1.85546875" style="1962" customWidth="1"/>
    <col min="14085" max="14085" width="13.42578125" style="1962" customWidth="1"/>
    <col min="14086" max="14086" width="6.42578125" style="1962" customWidth="1"/>
    <col min="14087" max="14087" width="14" style="1962" customWidth="1"/>
    <col min="14088" max="14088" width="1.85546875" style="1962" customWidth="1"/>
    <col min="14089" max="14089" width="13.5703125" style="1962" customWidth="1"/>
    <col min="14090" max="14090" width="3.85546875" style="1962" customWidth="1"/>
    <col min="14091" max="14091" width="13.140625" style="1962" bestFit="1" customWidth="1"/>
    <col min="14092" max="14092" width="4.140625" style="1962" customWidth="1"/>
    <col min="14093" max="14093" width="13.7109375" style="1962" customWidth="1"/>
    <col min="14094" max="14094" width="5.28515625" style="1962" customWidth="1"/>
    <col min="14095" max="14095" width="11" style="1962" customWidth="1"/>
    <col min="14096" max="14096" width="5.28515625" style="1962" customWidth="1"/>
    <col min="14097" max="14097" width="15.85546875" style="1962" customWidth="1"/>
    <col min="14098" max="14098" width="6.140625" style="1962" customWidth="1"/>
    <col min="14099" max="14099" width="13.85546875" style="1962" customWidth="1"/>
    <col min="14100" max="14336" width="16.7109375" style="1962"/>
    <col min="14337" max="14337" width="6.5703125" style="1962" customWidth="1"/>
    <col min="14338" max="14338" width="55" style="1962" customWidth="1"/>
    <col min="14339" max="14339" width="11" style="1962" customWidth="1"/>
    <col min="14340" max="14340" width="1.85546875" style="1962" customWidth="1"/>
    <col min="14341" max="14341" width="13.42578125" style="1962" customWidth="1"/>
    <col min="14342" max="14342" width="6.42578125" style="1962" customWidth="1"/>
    <col min="14343" max="14343" width="14" style="1962" customWidth="1"/>
    <col min="14344" max="14344" width="1.85546875" style="1962" customWidth="1"/>
    <col min="14345" max="14345" width="13.5703125" style="1962" customWidth="1"/>
    <col min="14346" max="14346" width="3.85546875" style="1962" customWidth="1"/>
    <col min="14347" max="14347" width="13.140625" style="1962" bestFit="1" customWidth="1"/>
    <col min="14348" max="14348" width="4.140625" style="1962" customWidth="1"/>
    <col min="14349" max="14349" width="13.7109375" style="1962" customWidth="1"/>
    <col min="14350" max="14350" width="5.28515625" style="1962" customWidth="1"/>
    <col min="14351" max="14351" width="11" style="1962" customWidth="1"/>
    <col min="14352" max="14352" width="5.28515625" style="1962" customWidth="1"/>
    <col min="14353" max="14353" width="15.85546875" style="1962" customWidth="1"/>
    <col min="14354" max="14354" width="6.140625" style="1962" customWidth="1"/>
    <col min="14355" max="14355" width="13.85546875" style="1962" customWidth="1"/>
    <col min="14356" max="14592" width="16.7109375" style="1962"/>
    <col min="14593" max="14593" width="6.5703125" style="1962" customWidth="1"/>
    <col min="14594" max="14594" width="55" style="1962" customWidth="1"/>
    <col min="14595" max="14595" width="11" style="1962" customWidth="1"/>
    <col min="14596" max="14596" width="1.85546875" style="1962" customWidth="1"/>
    <col min="14597" max="14597" width="13.42578125" style="1962" customWidth="1"/>
    <col min="14598" max="14598" width="6.42578125" style="1962" customWidth="1"/>
    <col min="14599" max="14599" width="14" style="1962" customWidth="1"/>
    <col min="14600" max="14600" width="1.85546875" style="1962" customWidth="1"/>
    <col min="14601" max="14601" width="13.5703125" style="1962" customWidth="1"/>
    <col min="14602" max="14602" width="3.85546875" style="1962" customWidth="1"/>
    <col min="14603" max="14603" width="13.140625" style="1962" bestFit="1" customWidth="1"/>
    <col min="14604" max="14604" width="4.140625" style="1962" customWidth="1"/>
    <col min="14605" max="14605" width="13.7109375" style="1962" customWidth="1"/>
    <col min="14606" max="14606" width="5.28515625" style="1962" customWidth="1"/>
    <col min="14607" max="14607" width="11" style="1962" customWidth="1"/>
    <col min="14608" max="14608" width="5.28515625" style="1962" customWidth="1"/>
    <col min="14609" max="14609" width="15.85546875" style="1962" customWidth="1"/>
    <col min="14610" max="14610" width="6.140625" style="1962" customWidth="1"/>
    <col min="14611" max="14611" width="13.85546875" style="1962" customWidth="1"/>
    <col min="14612" max="14848" width="16.7109375" style="1962"/>
    <col min="14849" max="14849" width="6.5703125" style="1962" customWidth="1"/>
    <col min="14850" max="14850" width="55" style="1962" customWidth="1"/>
    <col min="14851" max="14851" width="11" style="1962" customWidth="1"/>
    <col min="14852" max="14852" width="1.85546875" style="1962" customWidth="1"/>
    <col min="14853" max="14853" width="13.42578125" style="1962" customWidth="1"/>
    <col min="14854" max="14854" width="6.42578125" style="1962" customWidth="1"/>
    <col min="14855" max="14855" width="14" style="1962" customWidth="1"/>
    <col min="14856" max="14856" width="1.85546875" style="1962" customWidth="1"/>
    <col min="14857" max="14857" width="13.5703125" style="1962" customWidth="1"/>
    <col min="14858" max="14858" width="3.85546875" style="1962" customWidth="1"/>
    <col min="14859" max="14859" width="13.140625" style="1962" bestFit="1" customWidth="1"/>
    <col min="14860" max="14860" width="4.140625" style="1962" customWidth="1"/>
    <col min="14861" max="14861" width="13.7109375" style="1962" customWidth="1"/>
    <col min="14862" max="14862" width="5.28515625" style="1962" customWidth="1"/>
    <col min="14863" max="14863" width="11" style="1962" customWidth="1"/>
    <col min="14864" max="14864" width="5.28515625" style="1962" customWidth="1"/>
    <col min="14865" max="14865" width="15.85546875" style="1962" customWidth="1"/>
    <col min="14866" max="14866" width="6.140625" style="1962" customWidth="1"/>
    <col min="14867" max="14867" width="13.85546875" style="1962" customWidth="1"/>
    <col min="14868" max="15104" width="16.7109375" style="1962"/>
    <col min="15105" max="15105" width="6.5703125" style="1962" customWidth="1"/>
    <col min="15106" max="15106" width="55" style="1962" customWidth="1"/>
    <col min="15107" max="15107" width="11" style="1962" customWidth="1"/>
    <col min="15108" max="15108" width="1.85546875" style="1962" customWidth="1"/>
    <col min="15109" max="15109" width="13.42578125" style="1962" customWidth="1"/>
    <col min="15110" max="15110" width="6.42578125" style="1962" customWidth="1"/>
    <col min="15111" max="15111" width="14" style="1962" customWidth="1"/>
    <col min="15112" max="15112" width="1.85546875" style="1962" customWidth="1"/>
    <col min="15113" max="15113" width="13.5703125" style="1962" customWidth="1"/>
    <col min="15114" max="15114" width="3.85546875" style="1962" customWidth="1"/>
    <col min="15115" max="15115" width="13.140625" style="1962" bestFit="1" customWidth="1"/>
    <col min="15116" max="15116" width="4.140625" style="1962" customWidth="1"/>
    <col min="15117" max="15117" width="13.7109375" style="1962" customWidth="1"/>
    <col min="15118" max="15118" width="5.28515625" style="1962" customWidth="1"/>
    <col min="15119" max="15119" width="11" style="1962" customWidth="1"/>
    <col min="15120" max="15120" width="5.28515625" style="1962" customWidth="1"/>
    <col min="15121" max="15121" width="15.85546875" style="1962" customWidth="1"/>
    <col min="15122" max="15122" width="6.140625" style="1962" customWidth="1"/>
    <col min="15123" max="15123" width="13.85546875" style="1962" customWidth="1"/>
    <col min="15124" max="15360" width="16.7109375" style="1962"/>
    <col min="15361" max="15361" width="6.5703125" style="1962" customWidth="1"/>
    <col min="15362" max="15362" width="55" style="1962" customWidth="1"/>
    <col min="15363" max="15363" width="11" style="1962" customWidth="1"/>
    <col min="15364" max="15364" width="1.85546875" style="1962" customWidth="1"/>
    <col min="15365" max="15365" width="13.42578125" style="1962" customWidth="1"/>
    <col min="15366" max="15366" width="6.42578125" style="1962" customWidth="1"/>
    <col min="15367" max="15367" width="14" style="1962" customWidth="1"/>
    <col min="15368" max="15368" width="1.85546875" style="1962" customWidth="1"/>
    <col min="15369" max="15369" width="13.5703125" style="1962" customWidth="1"/>
    <col min="15370" max="15370" width="3.85546875" style="1962" customWidth="1"/>
    <col min="15371" max="15371" width="13.140625" style="1962" bestFit="1" customWidth="1"/>
    <col min="15372" max="15372" width="4.140625" style="1962" customWidth="1"/>
    <col min="15373" max="15373" width="13.7109375" style="1962" customWidth="1"/>
    <col min="15374" max="15374" width="5.28515625" style="1962" customWidth="1"/>
    <col min="15375" max="15375" width="11" style="1962" customWidth="1"/>
    <col min="15376" max="15376" width="5.28515625" style="1962" customWidth="1"/>
    <col min="15377" max="15377" width="15.85546875" style="1962" customWidth="1"/>
    <col min="15378" max="15378" width="6.140625" style="1962" customWidth="1"/>
    <col min="15379" max="15379" width="13.85546875" style="1962" customWidth="1"/>
    <col min="15380" max="15616" width="16.7109375" style="1962"/>
    <col min="15617" max="15617" width="6.5703125" style="1962" customWidth="1"/>
    <col min="15618" max="15618" width="55" style="1962" customWidth="1"/>
    <col min="15619" max="15619" width="11" style="1962" customWidth="1"/>
    <col min="15620" max="15620" width="1.85546875" style="1962" customWidth="1"/>
    <col min="15621" max="15621" width="13.42578125" style="1962" customWidth="1"/>
    <col min="15622" max="15622" width="6.42578125" style="1962" customWidth="1"/>
    <col min="15623" max="15623" width="14" style="1962" customWidth="1"/>
    <col min="15624" max="15624" width="1.85546875" style="1962" customWidth="1"/>
    <col min="15625" max="15625" width="13.5703125" style="1962" customWidth="1"/>
    <col min="15626" max="15626" width="3.85546875" style="1962" customWidth="1"/>
    <col min="15627" max="15627" width="13.140625" style="1962" bestFit="1" customWidth="1"/>
    <col min="15628" max="15628" width="4.140625" style="1962" customWidth="1"/>
    <col min="15629" max="15629" width="13.7109375" style="1962" customWidth="1"/>
    <col min="15630" max="15630" width="5.28515625" style="1962" customWidth="1"/>
    <col min="15631" max="15631" width="11" style="1962" customWidth="1"/>
    <col min="15632" max="15632" width="5.28515625" style="1962" customWidth="1"/>
    <col min="15633" max="15633" width="15.85546875" style="1962" customWidth="1"/>
    <col min="15634" max="15634" width="6.140625" style="1962" customWidth="1"/>
    <col min="15635" max="15635" width="13.85546875" style="1962" customWidth="1"/>
    <col min="15636" max="15872" width="16.7109375" style="1962"/>
    <col min="15873" max="15873" width="6.5703125" style="1962" customWidth="1"/>
    <col min="15874" max="15874" width="55" style="1962" customWidth="1"/>
    <col min="15875" max="15875" width="11" style="1962" customWidth="1"/>
    <col min="15876" max="15876" width="1.85546875" style="1962" customWidth="1"/>
    <col min="15877" max="15877" width="13.42578125" style="1962" customWidth="1"/>
    <col min="15878" max="15878" width="6.42578125" style="1962" customWidth="1"/>
    <col min="15879" max="15879" width="14" style="1962" customWidth="1"/>
    <col min="15880" max="15880" width="1.85546875" style="1962" customWidth="1"/>
    <col min="15881" max="15881" width="13.5703125" style="1962" customWidth="1"/>
    <col min="15882" max="15882" width="3.85546875" style="1962" customWidth="1"/>
    <col min="15883" max="15883" width="13.140625" style="1962" bestFit="1" customWidth="1"/>
    <col min="15884" max="15884" width="4.140625" style="1962" customWidth="1"/>
    <col min="15885" max="15885" width="13.7109375" style="1962" customWidth="1"/>
    <col min="15886" max="15886" width="5.28515625" style="1962" customWidth="1"/>
    <col min="15887" max="15887" width="11" style="1962" customWidth="1"/>
    <col min="15888" max="15888" width="5.28515625" style="1962" customWidth="1"/>
    <col min="15889" max="15889" width="15.85546875" style="1962" customWidth="1"/>
    <col min="15890" max="15890" width="6.140625" style="1962" customWidth="1"/>
    <col min="15891" max="15891" width="13.85546875" style="1962" customWidth="1"/>
    <col min="15892" max="16128" width="16.7109375" style="1962"/>
    <col min="16129" max="16129" width="6.5703125" style="1962" customWidth="1"/>
    <col min="16130" max="16130" width="55" style="1962" customWidth="1"/>
    <col min="16131" max="16131" width="11" style="1962" customWidth="1"/>
    <col min="16132" max="16132" width="1.85546875" style="1962" customWidth="1"/>
    <col min="16133" max="16133" width="13.42578125" style="1962" customWidth="1"/>
    <col min="16134" max="16134" width="6.42578125" style="1962" customWidth="1"/>
    <col min="16135" max="16135" width="14" style="1962" customWidth="1"/>
    <col min="16136" max="16136" width="1.85546875" style="1962" customWidth="1"/>
    <col min="16137" max="16137" width="13.5703125" style="1962" customWidth="1"/>
    <col min="16138" max="16138" width="3.85546875" style="1962" customWidth="1"/>
    <col min="16139" max="16139" width="13.140625" style="1962" bestFit="1" customWidth="1"/>
    <col min="16140" max="16140" width="4.140625" style="1962" customWidth="1"/>
    <col min="16141" max="16141" width="13.7109375" style="1962" customWidth="1"/>
    <col min="16142" max="16142" width="5.28515625" style="1962" customWidth="1"/>
    <col min="16143" max="16143" width="11" style="1962" customWidth="1"/>
    <col min="16144" max="16144" width="5.28515625" style="1962" customWidth="1"/>
    <col min="16145" max="16145" width="15.85546875" style="1962" customWidth="1"/>
    <col min="16146" max="16146" width="6.140625" style="1962" customWidth="1"/>
    <col min="16147" max="16147" width="13.85546875" style="1962" customWidth="1"/>
    <col min="16148" max="16384" width="16.7109375" style="1962"/>
  </cols>
  <sheetData>
    <row r="1" spans="1:25" s="1966" customFormat="1" hidden="1" x14ac:dyDescent="0.15">
      <c r="A1" s="1961"/>
      <c r="B1" s="1962"/>
      <c r="C1" s="1962"/>
      <c r="D1" s="1962"/>
      <c r="E1" s="1962"/>
      <c r="F1" s="1963"/>
      <c r="G1" s="1962"/>
      <c r="H1" s="1962"/>
      <c r="I1" s="1962"/>
      <c r="J1" s="1963"/>
      <c r="K1" s="1962"/>
      <c r="L1" s="1962"/>
      <c r="M1" s="1964"/>
      <c r="N1" s="1964"/>
      <c r="O1" s="1964"/>
      <c r="P1" s="1965"/>
      <c r="Q1" s="1964"/>
      <c r="R1" s="1964"/>
      <c r="T1" s="1967"/>
      <c r="U1" s="1967"/>
    </row>
    <row r="2" spans="1:25" hidden="1" x14ac:dyDescent="0.15">
      <c r="M2" s="1964"/>
      <c r="N2" s="1964"/>
      <c r="O2" s="1964"/>
      <c r="P2" s="1965"/>
      <c r="Q2" s="1964"/>
      <c r="R2" s="1964"/>
      <c r="S2" s="1968"/>
      <c r="T2" s="1967"/>
      <c r="U2" s="1967"/>
      <c r="V2" s="1966"/>
      <c r="W2" s="1966"/>
      <c r="X2" s="1966"/>
      <c r="Y2" s="1966"/>
    </row>
    <row r="3" spans="1:25" hidden="1" x14ac:dyDescent="0.15">
      <c r="M3" s="1964"/>
      <c r="N3" s="1964"/>
      <c r="O3" s="1964"/>
      <c r="P3" s="1965"/>
      <c r="Q3" s="1964"/>
      <c r="R3" s="1964"/>
      <c r="S3" s="1968"/>
      <c r="T3" s="1967"/>
      <c r="U3" s="1967"/>
      <c r="V3" s="1966"/>
      <c r="W3" s="1966"/>
      <c r="X3" s="1966"/>
      <c r="Y3" s="1966"/>
    </row>
    <row r="4" spans="1:25" ht="15.75" x14ac:dyDescent="0.2">
      <c r="A4" s="2582" t="s">
        <v>2084</v>
      </c>
      <c r="B4" s="2582"/>
      <c r="C4" s="2582"/>
      <c r="D4" s="2582"/>
      <c r="E4" s="2582"/>
      <c r="F4" s="2582"/>
      <c r="G4" s="2582"/>
      <c r="H4" s="2582"/>
      <c r="I4" s="2582"/>
      <c r="J4" s="2582"/>
      <c r="K4" s="2582"/>
      <c r="L4" s="2582"/>
      <c r="M4" s="2582"/>
      <c r="N4" s="2582"/>
      <c r="O4" s="2582"/>
      <c r="P4" s="2582"/>
      <c r="Q4" s="2582"/>
      <c r="R4" s="2582"/>
      <c r="S4" s="2582"/>
      <c r="T4" s="1969"/>
      <c r="U4" s="1969"/>
      <c r="V4" s="1970"/>
      <c r="W4" s="1970"/>
      <c r="X4" s="1970"/>
      <c r="Y4" s="1970"/>
    </row>
    <row r="5" spans="1:25" ht="15.75" x14ac:dyDescent="0.2">
      <c r="A5" s="2582" t="s">
        <v>2109</v>
      </c>
      <c r="B5" s="2582"/>
      <c r="C5" s="2582"/>
      <c r="D5" s="2582"/>
      <c r="E5" s="2582"/>
      <c r="F5" s="2582"/>
      <c r="G5" s="2582"/>
      <c r="H5" s="2582"/>
      <c r="I5" s="2582"/>
      <c r="J5" s="2582"/>
      <c r="K5" s="2582"/>
      <c r="L5" s="2582"/>
      <c r="M5" s="2582"/>
      <c r="N5" s="2582"/>
      <c r="O5" s="2582"/>
      <c r="P5" s="2582"/>
      <c r="Q5" s="2582"/>
      <c r="R5" s="2582"/>
      <c r="S5" s="2582"/>
      <c r="T5" s="1969"/>
      <c r="U5" s="1969"/>
      <c r="V5" s="1970"/>
      <c r="W5" s="1970"/>
      <c r="X5" s="1970"/>
      <c r="Y5" s="1970"/>
    </row>
    <row r="6" spans="1:25" ht="15.75" x14ac:dyDescent="0.2">
      <c r="A6" s="2582" t="s">
        <v>1281</v>
      </c>
      <c r="B6" s="2582"/>
      <c r="C6" s="2582"/>
      <c r="D6" s="2582"/>
      <c r="E6" s="2582"/>
      <c r="F6" s="2582"/>
      <c r="G6" s="2582"/>
      <c r="H6" s="2582"/>
      <c r="I6" s="2582"/>
      <c r="J6" s="2582"/>
      <c r="K6" s="2582"/>
      <c r="L6" s="2582"/>
      <c r="M6" s="2582"/>
      <c r="N6" s="2582"/>
      <c r="O6" s="2582"/>
      <c r="P6" s="2582"/>
      <c r="Q6" s="2582"/>
      <c r="R6" s="2582"/>
      <c r="S6" s="2582"/>
      <c r="T6" s="1969"/>
      <c r="U6" s="1969"/>
      <c r="V6" s="1970"/>
      <c r="W6" s="1970"/>
      <c r="X6" s="1970"/>
      <c r="Y6" s="1964"/>
    </row>
    <row r="7" spans="1:25" ht="12.75" customHeight="1" x14ac:dyDescent="0.2">
      <c r="A7" s="2583" t="s">
        <v>2110</v>
      </c>
      <c r="B7" s="2583"/>
      <c r="C7" s="2583"/>
      <c r="D7" s="2583"/>
      <c r="E7" s="2583"/>
      <c r="F7" s="2583"/>
      <c r="G7" s="2583"/>
      <c r="H7" s="2583"/>
      <c r="I7" s="2583"/>
      <c r="J7" s="2583"/>
      <c r="K7" s="2583"/>
      <c r="L7" s="2583"/>
      <c r="M7" s="2583"/>
      <c r="N7" s="2583"/>
      <c r="O7" s="2583"/>
      <c r="P7" s="2583"/>
      <c r="Q7" s="2583"/>
      <c r="R7" s="2583"/>
      <c r="S7" s="2583"/>
      <c r="T7" s="1969"/>
      <c r="U7" s="1969"/>
      <c r="V7" s="1970"/>
      <c r="W7" s="1970"/>
      <c r="X7" s="1970"/>
      <c r="Y7" s="1964"/>
    </row>
    <row r="8" spans="1:25" x14ac:dyDescent="0.2">
      <c r="A8" s="1971"/>
      <c r="B8" s="1971"/>
      <c r="C8" s="1971"/>
      <c r="D8" s="1971"/>
      <c r="E8" s="1971"/>
      <c r="F8" s="1971"/>
      <c r="G8" s="1972"/>
      <c r="H8" s="1970"/>
      <c r="I8" s="1972"/>
      <c r="J8" s="1973"/>
      <c r="K8" s="1972"/>
      <c r="L8" s="1970"/>
      <c r="M8" s="1964"/>
      <c r="N8" s="1964"/>
      <c r="O8" s="1964"/>
      <c r="P8" s="1965"/>
      <c r="Q8" s="1964"/>
      <c r="R8" s="1964"/>
      <c r="S8" s="1965"/>
      <c r="T8" s="2063"/>
      <c r="U8" s="2063"/>
      <c r="V8" s="1970"/>
      <c r="W8" s="1970"/>
      <c r="X8" s="1970"/>
      <c r="Y8" s="1964"/>
    </row>
    <row r="9" spans="1:25" x14ac:dyDescent="0.2">
      <c r="A9" s="1971"/>
      <c r="B9" s="1971" t="s">
        <v>1231</v>
      </c>
      <c r="C9" s="1971"/>
      <c r="D9" s="1971"/>
      <c r="E9" s="1971"/>
      <c r="F9" s="1971"/>
      <c r="G9" s="1972"/>
      <c r="H9" s="1970"/>
      <c r="I9" s="1972"/>
      <c r="J9" s="1973"/>
      <c r="K9" s="1972"/>
      <c r="L9" s="1970"/>
      <c r="M9" s="1970"/>
      <c r="N9" s="1970"/>
      <c r="O9" s="1970"/>
      <c r="P9" s="1973"/>
      <c r="Q9" s="1970"/>
      <c r="R9" s="1970"/>
      <c r="S9" s="1973"/>
      <c r="T9" s="1969"/>
      <c r="U9" s="1969"/>
      <c r="V9" s="1970"/>
      <c r="W9" s="1970"/>
      <c r="X9" s="1970"/>
      <c r="Y9" s="2079"/>
    </row>
    <row r="10" spans="1:25" s="1978" customFormat="1" ht="17.25" x14ac:dyDescent="0.35">
      <c r="A10" s="1974"/>
      <c r="B10" s="1975"/>
      <c r="C10" s="1976"/>
      <c r="D10" s="1976"/>
      <c r="E10" s="1974" t="s">
        <v>2111</v>
      </c>
      <c r="F10" s="1974"/>
      <c r="G10" s="1977" t="s">
        <v>2112</v>
      </c>
      <c r="H10" s="1977"/>
      <c r="I10" s="1977"/>
      <c r="J10" s="1974"/>
      <c r="K10" s="1977" t="s">
        <v>2113</v>
      </c>
      <c r="L10" s="1977"/>
      <c r="M10" s="1977"/>
      <c r="N10" s="1976"/>
      <c r="O10" s="1976"/>
      <c r="P10" s="1974"/>
      <c r="Q10" s="1976"/>
      <c r="R10" s="1976"/>
      <c r="S10" s="1974"/>
      <c r="T10" s="2577"/>
      <c r="U10" s="2577"/>
      <c r="V10" s="2577"/>
      <c r="W10" s="2577"/>
      <c r="X10" s="2577"/>
      <c r="Y10" s="2080"/>
    </row>
    <row r="11" spans="1:25" s="1978" customFormat="1" ht="17.25" x14ac:dyDescent="0.4">
      <c r="A11" s="1979"/>
      <c r="B11" s="1980"/>
      <c r="C11" s="1979" t="s">
        <v>1326</v>
      </c>
      <c r="D11" s="1981"/>
      <c r="E11" s="1979" t="s">
        <v>2114</v>
      </c>
      <c r="F11" s="1979"/>
      <c r="G11" s="1979" t="s">
        <v>2115</v>
      </c>
      <c r="H11" s="1981"/>
      <c r="I11" s="1982" t="s">
        <v>2116</v>
      </c>
      <c r="J11" s="1979"/>
      <c r="K11" s="1979" t="s">
        <v>2115</v>
      </c>
      <c r="L11" s="1981"/>
      <c r="M11" s="1982" t="str">
        <f>I11</f>
        <v>7/01/17-</v>
      </c>
      <c r="N11" s="1981"/>
      <c r="O11" s="1979" t="s">
        <v>1323</v>
      </c>
      <c r="P11" s="1979"/>
      <c r="Q11" s="1979" t="s">
        <v>2117</v>
      </c>
      <c r="R11" s="1981"/>
      <c r="S11" s="1979" t="s">
        <v>1231</v>
      </c>
      <c r="T11" s="2578"/>
      <c r="U11" s="2578"/>
      <c r="V11" s="2578"/>
      <c r="W11" s="2064"/>
      <c r="X11" s="2064"/>
      <c r="Y11" s="2081"/>
    </row>
    <row r="12" spans="1:25" s="1978" customFormat="1" ht="15" x14ac:dyDescent="0.25">
      <c r="A12" s="1980" t="s">
        <v>2118</v>
      </c>
      <c r="B12" s="1980"/>
      <c r="C12" s="1979" t="s">
        <v>2119</v>
      </c>
      <c r="D12" s="1981"/>
      <c r="E12" s="1979" t="s">
        <v>2119</v>
      </c>
      <c r="F12" s="1979"/>
      <c r="G12" s="1983" t="s">
        <v>2120</v>
      </c>
      <c r="H12" s="1981"/>
      <c r="I12" s="1983" t="s">
        <v>2121</v>
      </c>
      <c r="J12" s="1979"/>
      <c r="K12" s="1983" t="str">
        <f>G12</f>
        <v>6/30/17</v>
      </c>
      <c r="L12" s="1981"/>
      <c r="M12" s="1983" t="str">
        <f>I12</f>
        <v>6/30/18</v>
      </c>
      <c r="N12" s="1981"/>
      <c r="O12" s="1979" t="s">
        <v>2122</v>
      </c>
      <c r="P12" s="1979"/>
      <c r="Q12" s="1979" t="s">
        <v>1319</v>
      </c>
      <c r="R12" s="1981"/>
      <c r="S12" s="1979" t="s">
        <v>30</v>
      </c>
      <c r="T12" s="2065"/>
      <c r="U12" s="2065"/>
      <c r="V12" s="2066"/>
      <c r="W12" s="2066"/>
      <c r="X12" s="2066"/>
      <c r="Y12" s="2082"/>
    </row>
    <row r="13" spans="1:25" s="1978" customFormat="1" ht="17.25" x14ac:dyDescent="0.4">
      <c r="A13" s="1984" t="s">
        <v>2123</v>
      </c>
      <c r="B13" s="1981"/>
      <c r="C13" s="1985" t="s">
        <v>2124</v>
      </c>
      <c r="D13" s="1981"/>
      <c r="E13" s="1985" t="s">
        <v>2125</v>
      </c>
      <c r="F13" s="1979"/>
      <c r="G13" s="1986" t="s">
        <v>2126</v>
      </c>
      <c r="H13" s="1987"/>
      <c r="I13" s="1986" t="s">
        <v>2127</v>
      </c>
      <c r="J13" s="1988"/>
      <c r="K13" s="1986" t="s">
        <v>2128</v>
      </c>
      <c r="L13" s="1987"/>
      <c r="M13" s="1986" t="s">
        <v>2129</v>
      </c>
      <c r="N13" s="1987"/>
      <c r="O13" s="1986" t="s">
        <v>2130</v>
      </c>
      <c r="P13" s="1988"/>
      <c r="Q13" s="1986" t="s">
        <v>2131</v>
      </c>
      <c r="R13" s="1987"/>
      <c r="S13" s="1986" t="s">
        <v>2132</v>
      </c>
      <c r="T13" s="2067"/>
      <c r="U13" s="2067"/>
      <c r="V13" s="2068"/>
      <c r="W13" s="2068"/>
      <c r="X13" s="2068"/>
      <c r="Y13" s="2083"/>
    </row>
    <row r="14" spans="1:25" s="1978" customFormat="1" ht="9.1999999999999993" customHeight="1" x14ac:dyDescent="0.2">
      <c r="A14" s="1989"/>
      <c r="B14" s="1981"/>
      <c r="C14" s="1985"/>
      <c r="D14" s="1981"/>
      <c r="E14" s="1985"/>
      <c r="F14" s="1979"/>
      <c r="G14" s="1986"/>
      <c r="H14" s="1987"/>
      <c r="I14" s="1986"/>
      <c r="J14" s="1988"/>
      <c r="K14" s="1986"/>
      <c r="L14" s="1987"/>
      <c r="M14" s="1986" t="s">
        <v>1231</v>
      </c>
      <c r="N14" s="1987"/>
      <c r="O14" s="1986"/>
      <c r="P14" s="1988"/>
      <c r="Q14" s="1986"/>
      <c r="R14" s="1987"/>
      <c r="S14" s="1986"/>
      <c r="T14" s="2067"/>
      <c r="U14" s="2067"/>
      <c r="V14" s="1976"/>
      <c r="W14" s="1976"/>
      <c r="X14" s="1976"/>
      <c r="Y14" s="1976"/>
    </row>
    <row r="15" spans="1:25" s="1978" customFormat="1" ht="15" x14ac:dyDescent="0.2">
      <c r="A15" s="1990" t="s">
        <v>2133</v>
      </c>
      <c r="B15" s="1981"/>
      <c r="C15" s="1985"/>
      <c r="D15" s="1981"/>
      <c r="E15" s="1985"/>
      <c r="F15" s="1979"/>
      <c r="G15" s="1986"/>
      <c r="H15" s="1987"/>
      <c r="I15" s="1986"/>
      <c r="J15" s="1988"/>
      <c r="K15" s="1986"/>
      <c r="L15" s="1987"/>
      <c r="M15" s="1986"/>
      <c r="N15" s="1987"/>
      <c r="O15" s="1986"/>
      <c r="P15" s="1988"/>
      <c r="Q15" s="1986"/>
      <c r="R15" s="1987"/>
      <c r="S15" s="1986"/>
      <c r="T15" s="2067"/>
      <c r="U15" s="2067"/>
      <c r="V15" s="1976"/>
      <c r="W15" s="1974"/>
      <c r="X15" s="1974"/>
      <c r="Y15" s="1976"/>
    </row>
    <row r="16" spans="1:25" s="1978" customFormat="1" ht="15" x14ac:dyDescent="0.2">
      <c r="A16" s="1990" t="s">
        <v>2134</v>
      </c>
      <c r="B16" s="1981"/>
      <c r="C16" s="1985"/>
      <c r="D16" s="1981"/>
      <c r="E16" s="1985"/>
      <c r="F16" s="1979"/>
      <c r="G16" s="1986"/>
      <c r="H16" s="1987"/>
      <c r="I16" s="1986" t="s">
        <v>1231</v>
      </c>
      <c r="J16" s="1988"/>
      <c r="K16" s="1986"/>
      <c r="L16" s="1987"/>
      <c r="M16" s="1986"/>
      <c r="N16" s="1987"/>
      <c r="O16" s="1986"/>
      <c r="P16" s="1988"/>
      <c r="Q16" s="1986"/>
      <c r="R16" s="1987"/>
      <c r="S16" s="1986"/>
      <c r="T16" s="2067"/>
      <c r="U16" s="2067"/>
      <c r="V16" s="1976"/>
      <c r="W16" s="1974"/>
      <c r="X16" s="1974"/>
      <c r="Y16" s="1976"/>
    </row>
    <row r="17" spans="1:25" s="1978" customFormat="1" ht="15" x14ac:dyDescent="0.2">
      <c r="A17" s="1990" t="s">
        <v>2135</v>
      </c>
      <c r="B17" s="1981"/>
      <c r="C17" s="1985"/>
      <c r="D17" s="1981"/>
      <c r="E17" s="1985"/>
      <c r="F17" s="1979"/>
      <c r="G17" s="1986"/>
      <c r="H17" s="1987"/>
      <c r="I17" s="1986"/>
      <c r="J17" s="1988"/>
      <c r="K17" s="1986"/>
      <c r="L17" s="1987"/>
      <c r="M17" s="1986"/>
      <c r="N17" s="1987"/>
      <c r="O17" s="1986"/>
      <c r="P17" s="1988"/>
      <c r="Q17" s="1986"/>
      <c r="R17" s="1987"/>
      <c r="S17" s="1986"/>
      <c r="T17" s="2069"/>
      <c r="U17" s="2069"/>
      <c r="V17" s="1976"/>
      <c r="W17" s="1974"/>
      <c r="X17" s="1974"/>
      <c r="Y17" s="1976"/>
    </row>
    <row r="18" spans="1:25" s="1978" customFormat="1" ht="15" x14ac:dyDescent="0.2">
      <c r="A18" s="1990"/>
      <c r="B18" s="1981"/>
      <c r="C18" s="1985"/>
      <c r="D18" s="1981"/>
      <c r="E18" s="1985"/>
      <c r="F18" s="1979"/>
      <c r="G18" s="1986"/>
      <c r="H18" s="1987"/>
      <c r="I18" s="1986"/>
      <c r="J18" s="1988"/>
      <c r="K18" s="1986"/>
      <c r="L18" s="1987"/>
      <c r="M18" s="1986"/>
      <c r="N18" s="1987"/>
      <c r="O18" s="1986"/>
      <c r="P18" s="1988"/>
      <c r="Q18" s="1986"/>
      <c r="R18" s="1987"/>
      <c r="S18" s="1986"/>
      <c r="T18" s="2070"/>
      <c r="U18" s="2070"/>
      <c r="V18" s="1976"/>
      <c r="W18" s="1974"/>
      <c r="X18" s="1974"/>
      <c r="Y18" s="1976"/>
    </row>
    <row r="19" spans="1:25" s="1978" customFormat="1" ht="15" x14ac:dyDescent="0.25">
      <c r="A19" s="1990"/>
      <c r="B19" s="1981" t="s">
        <v>1118</v>
      </c>
      <c r="C19" s="1991" t="s">
        <v>2136</v>
      </c>
      <c r="D19" s="1981"/>
      <c r="E19" s="1979" t="s">
        <v>2137</v>
      </c>
      <c r="F19" s="1979"/>
      <c r="G19" s="1992">
        <v>21926</v>
      </c>
      <c r="H19" s="1987"/>
      <c r="I19" s="1992">
        <f>26352-21926</f>
        <v>4426</v>
      </c>
      <c r="J19" s="1988"/>
      <c r="K19" s="1992">
        <v>21926</v>
      </c>
      <c r="L19" s="1987"/>
      <c r="M19" s="1992">
        <v>4426</v>
      </c>
      <c r="N19" s="1987"/>
      <c r="O19" s="1986"/>
      <c r="P19" s="1988"/>
      <c r="Q19" s="1992">
        <f>+K19+M19</f>
        <v>26352</v>
      </c>
      <c r="R19" s="1987"/>
      <c r="S19" s="1993" t="s">
        <v>2138</v>
      </c>
      <c r="T19" s="2071"/>
      <c r="U19" s="2071"/>
      <c r="V19" s="2072"/>
      <c r="W19" s="1974"/>
      <c r="X19" s="1974"/>
      <c r="Y19" s="1976"/>
    </row>
    <row r="20" spans="1:25" s="1978" customFormat="1" ht="15" x14ac:dyDescent="0.2">
      <c r="A20" s="1990"/>
      <c r="B20" s="1981" t="s">
        <v>1118</v>
      </c>
      <c r="C20" s="1991" t="s">
        <v>2136</v>
      </c>
      <c r="D20" s="1981"/>
      <c r="E20" s="1979" t="s">
        <v>2139</v>
      </c>
      <c r="F20" s="1979"/>
      <c r="G20" s="1994"/>
      <c r="H20" s="1987"/>
      <c r="I20" s="1994">
        <v>21396</v>
      </c>
      <c r="J20" s="1988"/>
      <c r="K20" s="1994"/>
      <c r="L20" s="1987"/>
      <c r="M20" s="1994">
        <v>21396</v>
      </c>
      <c r="N20" s="1987"/>
      <c r="O20" s="1994"/>
      <c r="P20" s="1995">
        <v>-1</v>
      </c>
      <c r="Q20" s="1996">
        <f>+K20+M20+O20</f>
        <v>21396</v>
      </c>
      <c r="R20" s="1987"/>
      <c r="S20" s="1988" t="s">
        <v>2138</v>
      </c>
      <c r="T20" s="2073"/>
      <c r="U20" s="2071"/>
      <c r="V20" s="1976"/>
      <c r="W20" s="1974"/>
      <c r="X20" s="1974"/>
      <c r="Y20" s="1976"/>
    </row>
    <row r="21" spans="1:25" s="1978" customFormat="1" ht="15" x14ac:dyDescent="0.2">
      <c r="A21" s="1990"/>
      <c r="B21" s="1981"/>
      <c r="C21" s="1991"/>
      <c r="D21" s="1981"/>
      <c r="E21" s="1979"/>
      <c r="F21" s="1979"/>
      <c r="G21" s="1994"/>
      <c r="H21" s="1987"/>
      <c r="I21" s="1994"/>
      <c r="J21" s="1988"/>
      <c r="K21" s="1994"/>
      <c r="L21" s="1987"/>
      <c r="M21" s="1997"/>
      <c r="N21" s="1987"/>
      <c r="O21" s="1994"/>
      <c r="P21" s="1995"/>
      <c r="Q21" s="1996"/>
      <c r="R21" s="1987"/>
      <c r="S21" s="1988"/>
      <c r="T21" s="2073"/>
      <c r="U21" s="2071"/>
      <c r="V21" s="1976"/>
      <c r="W21" s="1974"/>
      <c r="X21" s="1974"/>
      <c r="Y21" s="1976"/>
    </row>
    <row r="22" spans="1:25" s="1978" customFormat="1" ht="15" x14ac:dyDescent="0.2">
      <c r="A22" s="1990"/>
      <c r="B22" s="1981" t="s">
        <v>1119</v>
      </c>
      <c r="C22" s="1991">
        <v>10.553000000000001</v>
      </c>
      <c r="D22" s="1981"/>
      <c r="E22" s="1979" t="s">
        <v>2140</v>
      </c>
      <c r="F22" s="1979"/>
      <c r="G22" s="1994">
        <v>15555</v>
      </c>
      <c r="H22" s="1987"/>
      <c r="I22" s="1994">
        <f>18413-15555</f>
        <v>2858</v>
      </c>
      <c r="J22" s="1988"/>
      <c r="K22" s="1994">
        <v>15555</v>
      </c>
      <c r="L22" s="1987"/>
      <c r="M22" s="1997">
        <v>2858</v>
      </c>
      <c r="N22" s="1987"/>
      <c r="O22" s="1994"/>
      <c r="Q22" s="1992">
        <f>+K22+M22</f>
        <v>18413</v>
      </c>
      <c r="R22" s="1987"/>
      <c r="S22" s="1988" t="s">
        <v>2138</v>
      </c>
      <c r="T22" s="2073"/>
      <c r="U22" s="2071"/>
      <c r="V22" s="1976"/>
      <c r="W22" s="1974"/>
      <c r="X22" s="1974"/>
      <c r="Y22" s="1976"/>
    </row>
    <row r="23" spans="1:25" s="1978" customFormat="1" ht="15" x14ac:dyDescent="0.2">
      <c r="A23" s="1990"/>
      <c r="B23" s="1981" t="s">
        <v>1119</v>
      </c>
      <c r="C23" s="1991">
        <v>10.553000000000001</v>
      </c>
      <c r="D23" s="1981"/>
      <c r="E23" s="1979" t="s">
        <v>2141</v>
      </c>
      <c r="F23" s="1979"/>
      <c r="G23" s="1998"/>
      <c r="H23" s="1987"/>
      <c r="I23" s="1998">
        <v>15151</v>
      </c>
      <c r="J23" s="1988"/>
      <c r="K23" s="1998"/>
      <c r="L23" s="1987"/>
      <c r="M23" s="1998">
        <v>15151</v>
      </c>
      <c r="N23" s="1987"/>
      <c r="O23" s="1998"/>
      <c r="P23" s="1995">
        <v>-1</v>
      </c>
      <c r="Q23" s="1999">
        <f>+K23+M23+O23</f>
        <v>15151</v>
      </c>
      <c r="R23" s="1987"/>
      <c r="S23" s="1988" t="s">
        <v>2138</v>
      </c>
      <c r="T23" s="2073"/>
      <c r="U23" s="2071"/>
      <c r="V23" s="1976"/>
      <c r="W23" s="1974"/>
      <c r="X23" s="1974"/>
      <c r="Y23" s="1976"/>
    </row>
    <row r="24" spans="1:25" s="1978" customFormat="1" ht="17.100000000000001" customHeight="1" x14ac:dyDescent="0.2">
      <c r="A24" s="1990" t="s">
        <v>2142</v>
      </c>
      <c r="B24" s="1981"/>
      <c r="C24" s="1991"/>
      <c r="D24" s="1981"/>
      <c r="E24" s="1979"/>
      <c r="F24" s="1979"/>
      <c r="G24" s="1998">
        <f>SUM(G19:G23)</f>
        <v>37481</v>
      </c>
      <c r="H24" s="1987"/>
      <c r="I24" s="1998">
        <f>SUM(I19:I23)</f>
        <v>43831</v>
      </c>
      <c r="J24" s="1988"/>
      <c r="K24" s="1998">
        <f>SUM(K19:K23)</f>
        <v>37481</v>
      </c>
      <c r="L24" s="1987"/>
      <c r="M24" s="1998">
        <f>SUM(M19:M23)</f>
        <v>43831</v>
      </c>
      <c r="N24" s="1987"/>
      <c r="O24" s="1998">
        <f>SUM(O19:O23)</f>
        <v>0</v>
      </c>
      <c r="P24" s="1988"/>
      <c r="Q24" s="1998">
        <f>SUM(Q19:Q23)</f>
        <v>81312</v>
      </c>
      <c r="R24" s="1987"/>
      <c r="S24" s="1988"/>
      <c r="T24" s="2073"/>
      <c r="U24" s="2073"/>
      <c r="V24" s="1976"/>
      <c r="W24" s="1974"/>
      <c r="X24" s="1974"/>
      <c r="Y24" s="1976"/>
    </row>
    <row r="25" spans="1:25" s="1978" customFormat="1" ht="15" x14ac:dyDescent="0.2">
      <c r="A25" s="1989"/>
      <c r="B25" s="1981"/>
      <c r="C25" s="1985"/>
      <c r="D25" s="1981"/>
      <c r="E25" s="1985"/>
      <c r="F25" s="1979"/>
      <c r="G25" s="1986"/>
      <c r="H25" s="1987"/>
      <c r="I25" s="1986"/>
      <c r="J25" s="1988" t="s">
        <v>1231</v>
      </c>
      <c r="K25" s="1986"/>
      <c r="L25" s="1987"/>
      <c r="M25" s="1986"/>
      <c r="N25" s="1987"/>
      <c r="O25" s="1986"/>
      <c r="P25" s="1988"/>
      <c r="Q25" s="1986"/>
      <c r="R25" s="1987"/>
      <c r="S25" s="1986"/>
      <c r="T25" s="2073"/>
      <c r="U25" s="2073"/>
      <c r="V25" s="1976"/>
      <c r="W25" s="1974"/>
      <c r="X25" s="1974"/>
      <c r="Y25" s="1976"/>
    </row>
    <row r="26" spans="1:25" s="1978" customFormat="1" ht="15" x14ac:dyDescent="0.2">
      <c r="A26" s="2579" t="s">
        <v>2143</v>
      </c>
      <c r="B26" s="2579"/>
      <c r="C26" s="1991" t="s">
        <v>1231</v>
      </c>
      <c r="D26" s="1981"/>
      <c r="E26" s="1980" t="s">
        <v>1231</v>
      </c>
      <c r="F26" s="1979"/>
      <c r="G26" s="2000"/>
      <c r="H26" s="2000"/>
      <c r="I26" s="2000"/>
      <c r="J26" s="2001"/>
      <c r="K26" s="2000"/>
      <c r="L26" s="2000"/>
      <c r="M26" s="2000">
        <v>0</v>
      </c>
      <c r="N26" s="2000"/>
      <c r="O26" s="2000"/>
      <c r="P26" s="2001"/>
      <c r="Q26" s="2002"/>
      <c r="R26" s="2000"/>
      <c r="S26" s="2001"/>
      <c r="T26" s="2073"/>
      <c r="U26" s="2073"/>
      <c r="V26" s="1976"/>
      <c r="W26" s="1974"/>
      <c r="X26" s="1974"/>
      <c r="Y26" s="1976"/>
    </row>
    <row r="27" spans="1:25" s="1978" customFormat="1" ht="15" x14ac:dyDescent="0.2">
      <c r="A27" s="1990" t="s">
        <v>2144</v>
      </c>
      <c r="B27" s="1990"/>
      <c r="C27" s="1991"/>
      <c r="D27" s="1981"/>
      <c r="E27" s="1980" t="s">
        <v>1231</v>
      </c>
      <c r="F27" s="1979"/>
      <c r="G27" s="2000"/>
      <c r="H27" s="2000"/>
      <c r="I27" s="2000"/>
      <c r="J27" s="2001"/>
      <c r="K27" s="2000"/>
      <c r="L27" s="2000"/>
      <c r="M27" s="2000"/>
      <c r="N27" s="2000"/>
      <c r="O27" s="2000"/>
      <c r="P27" s="2001"/>
      <c r="Q27" s="2002"/>
      <c r="R27" s="2000"/>
      <c r="S27" s="2001"/>
      <c r="T27" s="2071"/>
      <c r="U27" s="2071"/>
      <c r="V27" s="1976"/>
      <c r="W27" s="1974"/>
      <c r="X27" s="1974"/>
      <c r="Y27" s="1976"/>
    </row>
    <row r="28" spans="1:25" s="1978" customFormat="1" ht="15" x14ac:dyDescent="0.2">
      <c r="A28" s="1990" t="s">
        <v>2145</v>
      </c>
      <c r="B28" s="1990"/>
      <c r="C28" s="1991"/>
      <c r="D28" s="1981"/>
      <c r="E28" s="1980"/>
      <c r="F28" s="1979"/>
      <c r="G28" s="2000" t="s">
        <v>1231</v>
      </c>
      <c r="H28" s="2000"/>
      <c r="I28" s="2000"/>
      <c r="J28" s="2001"/>
      <c r="K28" s="2000"/>
      <c r="L28" s="2000"/>
      <c r="M28" s="2000"/>
      <c r="N28" s="2000"/>
      <c r="O28" s="2000"/>
      <c r="P28" s="2001"/>
      <c r="Q28" s="2002"/>
      <c r="R28" s="2000" t="s">
        <v>1231</v>
      </c>
      <c r="S28" s="2001"/>
      <c r="T28" s="2073"/>
      <c r="U28" s="2073"/>
      <c r="V28" s="1976"/>
      <c r="W28" s="1974"/>
      <c r="X28" s="1974"/>
      <c r="Y28" s="1976"/>
    </row>
    <row r="29" spans="1:25" s="1978" customFormat="1" ht="15" x14ac:dyDescent="0.2">
      <c r="A29" s="1990"/>
      <c r="F29" s="1979"/>
      <c r="G29" s="2000"/>
      <c r="H29" s="2003"/>
      <c r="I29" s="2003"/>
      <c r="J29" s="2004"/>
      <c r="K29" s="2003"/>
      <c r="L29" s="2000"/>
      <c r="M29" s="2000"/>
      <c r="N29" s="2000"/>
      <c r="O29" s="2000"/>
      <c r="P29" s="2001"/>
      <c r="Q29" s="2002"/>
      <c r="R29" s="2000"/>
      <c r="S29" s="2001"/>
      <c r="T29" s="2074"/>
      <c r="U29" s="2074"/>
      <c r="V29" s="1976"/>
      <c r="W29" s="1974"/>
      <c r="X29" s="1974"/>
      <c r="Y29" s="1976"/>
    </row>
    <row r="30" spans="1:25" s="1978" customFormat="1" ht="15" x14ac:dyDescent="0.2">
      <c r="A30" s="2005" t="s">
        <v>2146</v>
      </c>
      <c r="B30" s="1980" t="s">
        <v>2147</v>
      </c>
      <c r="C30" s="1991">
        <v>84.173000000000002</v>
      </c>
      <c r="D30" s="1981" t="s">
        <v>1231</v>
      </c>
      <c r="E30" s="1982" t="s">
        <v>2148</v>
      </c>
      <c r="F30" s="1979"/>
      <c r="G30" s="2003">
        <v>53432</v>
      </c>
      <c r="H30" s="2004"/>
      <c r="I30" s="2003">
        <f>81838-53432</f>
        <v>28406</v>
      </c>
      <c r="J30" s="2003"/>
      <c r="K30" s="2003">
        <v>76502</v>
      </c>
      <c r="L30" s="2006"/>
      <c r="M30" s="2003">
        <f>81838-76502</f>
        <v>5336</v>
      </c>
      <c r="N30" s="1992"/>
      <c r="O30" s="2003">
        <v>0</v>
      </c>
      <c r="P30" s="2004"/>
      <c r="Q30" s="2007">
        <f>+K30+M30+O30</f>
        <v>81838</v>
      </c>
      <c r="R30" s="2003"/>
      <c r="S30" s="2004">
        <v>81838</v>
      </c>
      <c r="T30" s="2073"/>
      <c r="U30" s="2073"/>
      <c r="V30" s="1976"/>
      <c r="W30" s="1974"/>
      <c r="X30" s="1974"/>
      <c r="Y30" s="1976"/>
    </row>
    <row r="31" spans="1:25" s="1978" customFormat="1" ht="15" x14ac:dyDescent="0.2">
      <c r="A31" s="2005" t="s">
        <v>2146</v>
      </c>
      <c r="B31" s="1980" t="s">
        <v>2147</v>
      </c>
      <c r="C31" s="1991">
        <v>84.173000000000002</v>
      </c>
      <c r="D31" s="1981" t="s">
        <v>1231</v>
      </c>
      <c r="E31" s="1982" t="s">
        <v>2149</v>
      </c>
      <c r="F31" s="2005"/>
      <c r="G31" s="2003"/>
      <c r="H31" s="2003"/>
      <c r="I31" s="2003">
        <v>42846</v>
      </c>
      <c r="J31" s="2004"/>
      <c r="K31" s="2003"/>
      <c r="L31" s="2003"/>
      <c r="M31" s="2003">
        <v>61859</v>
      </c>
      <c r="N31" s="2006"/>
      <c r="O31" s="2003">
        <v>9212</v>
      </c>
      <c r="P31" s="1992"/>
      <c r="Q31" s="2008">
        <f>+K31+M31+O31</f>
        <v>71071</v>
      </c>
      <c r="R31" s="2003"/>
      <c r="S31" s="2004">
        <v>71262</v>
      </c>
      <c r="T31" s="2073"/>
      <c r="U31" s="2073"/>
      <c r="V31" s="1976"/>
      <c r="W31" s="1974"/>
      <c r="X31" s="1974"/>
      <c r="Y31" s="1976"/>
    </row>
    <row r="32" spans="1:25" s="1978" customFormat="1" ht="15" hidden="1" x14ac:dyDescent="0.2">
      <c r="A32" s="2005"/>
      <c r="B32" s="1980"/>
      <c r="C32" s="1991"/>
      <c r="D32" s="1981"/>
      <c r="E32" s="1982"/>
      <c r="F32" s="2005"/>
      <c r="G32" s="2003"/>
      <c r="H32" s="2003"/>
      <c r="I32" s="2003"/>
      <c r="J32" s="2004"/>
      <c r="K32" s="2003"/>
      <c r="L32" s="2003"/>
      <c r="M32" s="2003"/>
      <c r="N32" s="2006"/>
      <c r="O32" s="2003"/>
      <c r="P32" s="1992"/>
      <c r="Q32" s="2008"/>
      <c r="R32" s="2003"/>
      <c r="S32" s="2004"/>
      <c r="T32" s="2073"/>
      <c r="U32" s="2073"/>
      <c r="V32" s="1976"/>
      <c r="W32" s="1974"/>
      <c r="X32" s="1974"/>
      <c r="Y32" s="1976"/>
    </row>
    <row r="33" spans="1:25" s="1978" customFormat="1" ht="15" x14ac:dyDescent="0.2">
      <c r="A33" s="2005"/>
      <c r="B33" s="2009"/>
      <c r="C33" s="1991"/>
      <c r="D33" s="1981"/>
      <c r="E33" s="1982"/>
      <c r="F33" s="1979"/>
      <c r="G33" s="2000"/>
      <c r="H33" s="2000"/>
      <c r="I33" s="2000"/>
      <c r="J33" s="2001"/>
      <c r="K33" s="2000"/>
      <c r="L33" s="2000"/>
      <c r="M33" s="2000"/>
      <c r="N33" s="2000"/>
      <c r="O33" s="2000"/>
      <c r="P33" s="2010"/>
      <c r="Q33" s="2011"/>
      <c r="R33" s="2000"/>
      <c r="S33" s="2001"/>
      <c r="T33" s="2073"/>
      <c r="U33" s="2073"/>
      <c r="V33" s="1976"/>
      <c r="W33" s="1974"/>
      <c r="X33" s="1974"/>
      <c r="Y33" s="1976"/>
    </row>
    <row r="34" spans="1:25" s="1978" customFormat="1" ht="15" x14ac:dyDescent="0.2">
      <c r="A34" s="2005" t="s">
        <v>2146</v>
      </c>
      <c r="B34" s="1980" t="s">
        <v>2150</v>
      </c>
      <c r="C34" s="1991">
        <v>84.027000000000001</v>
      </c>
      <c r="D34" s="1981"/>
      <c r="E34" s="1979" t="s">
        <v>2151</v>
      </c>
      <c r="F34" s="1979"/>
      <c r="G34" s="2000">
        <v>1065143</v>
      </c>
      <c r="H34" s="2000"/>
      <c r="I34" s="2000">
        <f>1661312-1065143</f>
        <v>596169</v>
      </c>
      <c r="J34" s="2001"/>
      <c r="K34" s="2000">
        <v>1499185</v>
      </c>
      <c r="L34" s="2000"/>
      <c r="M34" s="2000">
        <f>1661312-1499185</f>
        <v>162127</v>
      </c>
      <c r="N34" s="2000"/>
      <c r="O34" s="2000"/>
      <c r="P34" s="2010"/>
      <c r="Q34" s="2011">
        <f>SUM(K34:P34)</f>
        <v>1661312</v>
      </c>
      <c r="R34" s="2000"/>
      <c r="S34" s="2001">
        <v>1734744</v>
      </c>
      <c r="T34" s="2073"/>
      <c r="U34" s="2073"/>
      <c r="V34" s="1976"/>
      <c r="W34" s="1974"/>
      <c r="X34" s="1974"/>
      <c r="Y34" s="1976"/>
    </row>
    <row r="35" spans="1:25" s="1978" customFormat="1" ht="17.25" x14ac:dyDescent="0.2">
      <c r="A35" s="2005" t="s">
        <v>2146</v>
      </c>
      <c r="B35" s="1980" t="s">
        <v>2150</v>
      </c>
      <c r="C35" s="1991">
        <v>84.027000000000001</v>
      </c>
      <c r="D35" s="1981"/>
      <c r="E35" s="1979" t="s">
        <v>2152</v>
      </c>
      <c r="F35" s="2005"/>
      <c r="G35" s="2012">
        <v>0</v>
      </c>
      <c r="H35" s="2000"/>
      <c r="I35" s="2013">
        <v>877569</v>
      </c>
      <c r="J35" s="2001"/>
      <c r="K35" s="2012">
        <v>0</v>
      </c>
      <c r="L35" s="2000"/>
      <c r="M35" s="2013">
        <v>1286525</v>
      </c>
      <c r="N35" s="2000"/>
      <c r="O35" s="2013">
        <v>162157</v>
      </c>
      <c r="P35" s="2010"/>
      <c r="Q35" s="2013">
        <f>+K35+M35+O35</f>
        <v>1448682</v>
      </c>
      <c r="R35" s="2000"/>
      <c r="S35" s="2001">
        <v>1489938</v>
      </c>
      <c r="T35" s="2073"/>
      <c r="U35" s="2073"/>
      <c r="V35" s="1976"/>
      <c r="W35" s="1974"/>
      <c r="X35" s="1974"/>
      <c r="Y35" s="1976"/>
    </row>
    <row r="36" spans="1:25" s="1978" customFormat="1" ht="17.25" hidden="1" x14ac:dyDescent="0.2">
      <c r="A36" s="2005" t="s">
        <v>2146</v>
      </c>
      <c r="B36" s="1980" t="s">
        <v>2153</v>
      </c>
      <c r="C36" s="1991">
        <v>84.027000000000001</v>
      </c>
      <c r="D36" s="1981"/>
      <c r="E36" s="1979" t="s">
        <v>2151</v>
      </c>
      <c r="F36" s="1979"/>
      <c r="G36" s="2012">
        <v>0</v>
      </c>
      <c r="H36" s="2000"/>
      <c r="I36" s="2014">
        <v>0</v>
      </c>
      <c r="J36" s="2001"/>
      <c r="K36" s="2012">
        <v>0</v>
      </c>
      <c r="L36" s="2000"/>
      <c r="M36" s="2014">
        <v>0</v>
      </c>
      <c r="N36" s="2015" t="s">
        <v>2154</v>
      </c>
      <c r="O36" s="2014">
        <v>0</v>
      </c>
      <c r="P36" s="2010"/>
      <c r="Q36" s="2016">
        <f>+K36+M36+O36</f>
        <v>0</v>
      </c>
      <c r="R36" s="2001"/>
      <c r="S36" s="2017"/>
      <c r="T36" s="2073"/>
      <c r="U36" s="2073"/>
      <c r="V36" s="1976"/>
      <c r="W36" s="1974"/>
      <c r="X36" s="1974"/>
      <c r="Y36" s="1976"/>
    </row>
    <row r="37" spans="1:25" s="1978" customFormat="1" ht="10.5" customHeight="1" x14ac:dyDescent="0.2">
      <c r="A37" s="2005"/>
      <c r="B37" s="1981"/>
      <c r="C37" s="1991"/>
      <c r="D37" s="1981"/>
      <c r="E37" s="1982"/>
      <c r="F37" s="1979"/>
      <c r="G37" s="2000"/>
      <c r="H37" s="2000"/>
      <c r="I37" s="2000"/>
      <c r="J37" s="2001"/>
      <c r="K37" s="2000"/>
      <c r="L37" s="2000"/>
      <c r="M37" s="2000"/>
      <c r="N37" s="2000"/>
      <c r="O37" s="2000"/>
      <c r="P37" s="2001"/>
      <c r="Q37" s="2002"/>
      <c r="R37" s="2000"/>
      <c r="S37" s="2001"/>
      <c r="T37" s="2073"/>
      <c r="U37" s="2073"/>
      <c r="V37" s="1976"/>
      <c r="W37" s="1974"/>
      <c r="X37" s="1974"/>
      <c r="Y37" s="1976"/>
    </row>
    <row r="38" spans="1:25" s="1978" customFormat="1" ht="10.5" customHeight="1" x14ac:dyDescent="0.2">
      <c r="A38" s="2005"/>
      <c r="B38" s="1981"/>
      <c r="C38" s="1991"/>
      <c r="D38" s="1981"/>
      <c r="E38" s="1982"/>
      <c r="F38" s="1979"/>
      <c r="G38" s="2000"/>
      <c r="H38" s="2000"/>
      <c r="I38" s="2000"/>
      <c r="J38" s="2001"/>
      <c r="K38" s="2000"/>
      <c r="L38" s="2000"/>
      <c r="M38" s="2000"/>
      <c r="N38" s="2000"/>
      <c r="O38" s="2000"/>
      <c r="P38" s="2001"/>
      <c r="Q38" s="2018"/>
      <c r="R38" s="2000"/>
      <c r="S38" s="2001"/>
      <c r="T38" s="2073"/>
      <c r="U38" s="2073"/>
      <c r="V38" s="1976"/>
      <c r="W38" s="1974"/>
      <c r="X38" s="1974"/>
      <c r="Y38" s="1976"/>
    </row>
    <row r="39" spans="1:25" s="1978" customFormat="1" ht="12" hidden="1" customHeight="1" x14ac:dyDescent="0.2">
      <c r="A39" s="2005"/>
      <c r="B39" s="1981"/>
      <c r="C39" s="1991"/>
      <c r="D39" s="1981"/>
      <c r="E39" s="1981"/>
      <c r="F39" s="1979"/>
      <c r="G39" s="2018"/>
      <c r="H39" s="2016"/>
      <c r="I39" s="2018"/>
      <c r="J39" s="2016"/>
      <c r="K39" s="2018"/>
      <c r="L39" s="2016"/>
      <c r="M39" s="2018"/>
      <c r="N39" s="2016"/>
      <c r="O39" s="2018"/>
      <c r="P39" s="2016"/>
      <c r="Q39" s="2018"/>
      <c r="R39" s="2019"/>
      <c r="S39" s="2020"/>
      <c r="T39" s="2073"/>
      <c r="U39" s="2073"/>
      <c r="V39" s="1976"/>
      <c r="W39" s="1974"/>
      <c r="X39" s="1974"/>
      <c r="Y39" s="1976"/>
    </row>
    <row r="40" spans="1:25" s="1978" customFormat="1" ht="17.100000000000001" customHeight="1" x14ac:dyDescent="0.2">
      <c r="A40" s="1990" t="s">
        <v>2155</v>
      </c>
      <c r="B40" s="1981"/>
      <c r="C40" s="1991"/>
      <c r="D40" s="1981"/>
      <c r="E40" s="1981"/>
      <c r="F40" s="1979"/>
      <c r="G40" s="2018">
        <f>+G30+G31+G34+G35</f>
        <v>1118575</v>
      </c>
      <c r="H40" s="2018"/>
      <c r="I40" s="2018">
        <f>+I30+I31+I34+I35</f>
        <v>1544990</v>
      </c>
      <c r="J40" s="2018"/>
      <c r="K40" s="2018">
        <f>+K30+K31+K34+K35</f>
        <v>1575687</v>
      </c>
      <c r="L40" s="2018"/>
      <c r="M40" s="2018">
        <f>+M30+M31+M34+M35</f>
        <v>1515847</v>
      </c>
      <c r="N40" s="2018"/>
      <c r="O40" s="2018">
        <f>+O30+O31+O34+O35</f>
        <v>171369</v>
      </c>
      <c r="P40" s="2018"/>
      <c r="Q40" s="2018">
        <f>+Q30+Q31+Q34+Q35</f>
        <v>3262903</v>
      </c>
      <c r="R40" s="2018"/>
      <c r="S40" s="2001"/>
      <c r="T40" s="2073"/>
      <c r="U40" s="2073"/>
      <c r="V40" s="1976"/>
      <c r="W40" s="1974"/>
      <c r="X40" s="1974"/>
      <c r="Y40" s="1976"/>
    </row>
    <row r="41" spans="1:25" s="1978" customFormat="1" ht="9.75" customHeight="1" x14ac:dyDescent="0.2">
      <c r="A41" s="1990"/>
      <c r="B41" s="1981"/>
      <c r="C41" s="1991"/>
      <c r="D41" s="1981"/>
      <c r="E41" s="1981"/>
      <c r="F41" s="1979"/>
      <c r="G41" s="2018"/>
      <c r="H41" s="2016"/>
      <c r="I41" s="2018"/>
      <c r="J41" s="2016"/>
      <c r="K41" s="2018"/>
      <c r="L41" s="2016"/>
      <c r="M41" s="2018"/>
      <c r="N41" s="2016"/>
      <c r="O41" s="2018"/>
      <c r="P41" s="2016"/>
      <c r="Q41" s="2018"/>
      <c r="R41" s="2019"/>
      <c r="S41" s="2021"/>
      <c r="T41" s="2073"/>
      <c r="U41" s="2073"/>
      <c r="V41" s="1976"/>
      <c r="W41" s="1974"/>
      <c r="X41" s="1974"/>
      <c r="Y41" s="1976"/>
    </row>
    <row r="42" spans="1:25" s="1978" customFormat="1" ht="17.25" x14ac:dyDescent="0.2">
      <c r="A42" s="1990" t="s">
        <v>2156</v>
      </c>
      <c r="B42" s="1981"/>
      <c r="C42" s="1991"/>
      <c r="D42" s="1981"/>
      <c r="E42" s="1981"/>
      <c r="F42" s="1979"/>
      <c r="G42" s="2018">
        <f>+G40+G24</f>
        <v>1156056</v>
      </c>
      <c r="H42" s="2016"/>
      <c r="I42" s="2018">
        <f>+I40+I24</f>
        <v>1588821</v>
      </c>
      <c r="J42" s="2016"/>
      <c r="K42" s="2018">
        <f>+K40+K24</f>
        <v>1613168</v>
      </c>
      <c r="L42" s="2016"/>
      <c r="M42" s="2018">
        <f>+M40+M24</f>
        <v>1559678</v>
      </c>
      <c r="N42" s="2016"/>
      <c r="O42" s="2018">
        <f>+O40+O24</f>
        <v>171369</v>
      </c>
      <c r="P42" s="2016"/>
      <c r="Q42" s="2018">
        <f>+Q40+Q24</f>
        <v>3344215</v>
      </c>
      <c r="R42" s="2019"/>
      <c r="S42" s="2021"/>
      <c r="T42" s="2071"/>
      <c r="U42" s="2071"/>
      <c r="V42" s="1976"/>
      <c r="W42" s="1974"/>
      <c r="X42" s="1974"/>
      <c r="Y42" s="1976"/>
    </row>
    <row r="43" spans="1:25" s="1978" customFormat="1" ht="17.25" x14ac:dyDescent="0.2">
      <c r="A43" s="2005"/>
      <c r="B43" s="1981"/>
      <c r="C43" s="1991"/>
      <c r="D43" s="1981"/>
      <c r="E43" s="1981"/>
      <c r="F43" s="1979"/>
      <c r="G43" s="2018"/>
      <c r="H43" s="2016"/>
      <c r="I43" s="2018"/>
      <c r="J43" s="2016"/>
      <c r="K43" s="2018"/>
      <c r="L43" s="2016"/>
      <c r="M43" s="2018"/>
      <c r="N43" s="2016"/>
      <c r="P43" s="2016"/>
      <c r="Q43" s="2018"/>
      <c r="R43" s="2019"/>
      <c r="S43" s="2020"/>
      <c r="T43" s="2071"/>
      <c r="U43" s="2071"/>
      <c r="V43" s="1976"/>
      <c r="W43" s="1974"/>
      <c r="X43" s="1974"/>
      <c r="Y43" s="1976"/>
    </row>
    <row r="44" spans="1:25" s="1978" customFormat="1" ht="17.25" x14ac:dyDescent="0.2">
      <c r="A44" s="2022" t="s">
        <v>2157</v>
      </c>
      <c r="C44" s="1991"/>
      <c r="D44" s="1981"/>
      <c r="E44" s="1981"/>
      <c r="F44" s="1979"/>
      <c r="G44" s="2016"/>
      <c r="H44" s="2016"/>
      <c r="I44" s="2016"/>
      <c r="J44" s="2016"/>
      <c r="K44" s="2023"/>
      <c r="L44" s="2016"/>
      <c r="M44" s="2016"/>
      <c r="N44" s="2016"/>
      <c r="O44" s="2016"/>
      <c r="P44" s="2016"/>
      <c r="Q44" s="2016"/>
      <c r="R44" s="2019"/>
      <c r="S44" s="2024"/>
      <c r="T44" s="2071"/>
      <c r="U44" s="2071"/>
      <c r="V44" s="1976"/>
      <c r="W44" s="1974"/>
      <c r="X44" s="1974"/>
      <c r="Y44" s="1976"/>
    </row>
    <row r="45" spans="1:25" s="1978" customFormat="1" ht="17.25" x14ac:dyDescent="0.2">
      <c r="A45" s="2022" t="s">
        <v>2158</v>
      </c>
      <c r="C45" s="1991"/>
      <c r="D45" s="1981"/>
      <c r="E45" s="1981"/>
      <c r="F45" s="2025"/>
      <c r="G45" s="2026"/>
      <c r="H45" s="2016"/>
      <c r="I45" s="2023"/>
      <c r="J45" s="2016"/>
      <c r="K45" s="2027" t="s">
        <v>1231</v>
      </c>
      <c r="L45" s="2016"/>
      <c r="M45" s="2028"/>
      <c r="N45" s="2016"/>
      <c r="O45" s="2029"/>
      <c r="P45" s="2016"/>
      <c r="Q45" s="2016"/>
      <c r="R45" s="2019"/>
      <c r="S45" s="2024"/>
      <c r="T45" s="2073"/>
      <c r="U45" s="2073"/>
      <c r="V45" s="1976"/>
      <c r="W45" s="1974"/>
      <c r="X45" s="1974"/>
      <c r="Y45" s="1976"/>
    </row>
    <row r="46" spans="1:25" s="1978" customFormat="1" ht="17.25" x14ac:dyDescent="0.2">
      <c r="A46" s="2022"/>
      <c r="C46" s="1991"/>
      <c r="D46" s="1981"/>
      <c r="E46" s="1981"/>
      <c r="F46" s="2025"/>
      <c r="G46" s="2026"/>
      <c r="H46" s="2016"/>
      <c r="I46" s="2023"/>
      <c r="J46" s="2016"/>
      <c r="K46" s="2027"/>
      <c r="L46" s="2016"/>
      <c r="M46" s="2028"/>
      <c r="N46" s="2016"/>
      <c r="O46" s="2029"/>
      <c r="P46" s="2016"/>
      <c r="Q46" s="2016"/>
      <c r="R46" s="2019"/>
      <c r="S46" s="2024"/>
      <c r="T46" s="2073"/>
      <c r="U46" s="2073"/>
      <c r="V46" s="1976"/>
      <c r="W46" s="1974"/>
      <c r="X46" s="1974"/>
      <c r="Y46" s="1976"/>
    </row>
    <row r="47" spans="1:25" s="1978" customFormat="1" ht="15" x14ac:dyDescent="0.2">
      <c r="A47" s="2022"/>
      <c r="B47" s="1981" t="s">
        <v>2159</v>
      </c>
      <c r="C47" s="1991">
        <v>93.778000000000006</v>
      </c>
      <c r="D47" s="1981" t="s">
        <v>2160</v>
      </c>
      <c r="E47" s="1981"/>
      <c r="F47" s="1979"/>
      <c r="G47" s="2003">
        <v>60864</v>
      </c>
      <c r="H47" s="2003"/>
      <c r="I47" s="2003">
        <v>21405</v>
      </c>
      <c r="J47" s="2004"/>
      <c r="K47" s="2003">
        <v>85697</v>
      </c>
      <c r="L47" s="2003"/>
      <c r="M47" s="2003"/>
      <c r="N47" s="2003"/>
      <c r="O47" s="2003"/>
      <c r="P47" s="2004"/>
      <c r="Q47" s="2003">
        <f>+M47+O47+K47</f>
        <v>85697</v>
      </c>
      <c r="R47" s="2000"/>
      <c r="S47" s="2001" t="s">
        <v>2138</v>
      </c>
      <c r="T47" s="2071"/>
      <c r="U47" s="2071"/>
      <c r="V47" s="1974"/>
      <c r="W47" s="1974"/>
      <c r="X47" s="1974"/>
      <c r="Y47" s="1976"/>
    </row>
    <row r="48" spans="1:25" s="1978" customFormat="1" ht="17.25" x14ac:dyDescent="0.2">
      <c r="A48" s="2022"/>
      <c r="B48" s="1981" t="s">
        <v>2159</v>
      </c>
      <c r="C48" s="1991">
        <v>93.778000000000006</v>
      </c>
      <c r="D48" s="1981" t="s">
        <v>2161</v>
      </c>
      <c r="E48" s="1981"/>
      <c r="F48" s="1979"/>
      <c r="G48" s="2013">
        <v>0</v>
      </c>
      <c r="H48" s="2003"/>
      <c r="I48" s="2013">
        <v>52637</v>
      </c>
      <c r="J48" s="2004"/>
      <c r="K48" s="2013">
        <v>0</v>
      </c>
      <c r="L48" s="2003"/>
      <c r="M48" s="2013">
        <v>77072</v>
      </c>
      <c r="N48" s="2003"/>
      <c r="O48" s="2013">
        <v>0</v>
      </c>
      <c r="P48" s="2004"/>
      <c r="Q48" s="2013">
        <f>+M48+O48+K48</f>
        <v>77072</v>
      </c>
      <c r="R48" s="2000"/>
      <c r="S48" s="2001" t="s">
        <v>2138</v>
      </c>
      <c r="T48" s="2071"/>
      <c r="U48" s="2071"/>
      <c r="V48" s="1974"/>
      <c r="W48" s="1974"/>
      <c r="X48" s="1974"/>
      <c r="Y48" s="1976"/>
    </row>
    <row r="49" spans="1:25" s="1978" customFormat="1" ht="17.25" x14ac:dyDescent="0.2">
      <c r="A49" s="2022"/>
      <c r="B49" s="1981"/>
      <c r="C49" s="1991"/>
      <c r="D49" s="1981"/>
      <c r="E49" s="1981"/>
      <c r="F49" s="1979"/>
      <c r="G49" s="2030"/>
      <c r="H49" s="2000"/>
      <c r="I49" s="2030"/>
      <c r="J49" s="2001"/>
      <c r="K49" s="2030"/>
      <c r="L49" s="2000"/>
      <c r="M49" s="2030"/>
      <c r="N49" s="2000"/>
      <c r="O49" s="2030"/>
      <c r="P49" s="2001"/>
      <c r="Q49" s="2030"/>
      <c r="R49" s="2000"/>
      <c r="S49" s="2001"/>
      <c r="T49" s="2073"/>
      <c r="U49" s="2073"/>
      <c r="V49" s="1976"/>
      <c r="W49" s="1974"/>
      <c r="X49" s="1974"/>
      <c r="Y49" s="1976"/>
    </row>
    <row r="50" spans="1:25" s="1978" customFormat="1" ht="17.25" x14ac:dyDescent="0.2">
      <c r="A50" s="2022" t="s">
        <v>2162</v>
      </c>
      <c r="B50" s="1981"/>
      <c r="C50" s="1991"/>
      <c r="D50" s="1981"/>
      <c r="E50" s="1981"/>
      <c r="F50" s="1979"/>
      <c r="G50" s="2030"/>
      <c r="H50" s="2000"/>
      <c r="I50" s="2030"/>
      <c r="J50" s="2001"/>
      <c r="K50" s="2030"/>
      <c r="L50" s="2000"/>
      <c r="M50" s="2030"/>
      <c r="N50" s="2000"/>
      <c r="O50" s="2030"/>
      <c r="P50" s="2001"/>
      <c r="Q50" s="2030"/>
      <c r="R50" s="2000"/>
      <c r="S50" s="2001"/>
      <c r="T50" s="2073"/>
      <c r="U50" s="2073"/>
      <c r="V50" s="1976"/>
      <c r="W50" s="1974"/>
      <c r="X50" s="1974"/>
      <c r="Y50" s="1976"/>
    </row>
    <row r="51" spans="1:25" s="1978" customFormat="1" ht="17.25" x14ac:dyDescent="0.2">
      <c r="A51" s="2022" t="s">
        <v>2158</v>
      </c>
      <c r="B51" s="1981"/>
      <c r="C51" s="1991"/>
      <c r="D51" s="1981"/>
      <c r="E51" s="1981"/>
      <c r="F51" s="1979"/>
      <c r="G51" s="2030">
        <f>+G47+G48</f>
        <v>60864</v>
      </c>
      <c r="H51" s="2000"/>
      <c r="I51" s="2030">
        <f>+I47+I48</f>
        <v>74042</v>
      </c>
      <c r="J51" s="2001"/>
      <c r="K51" s="2030">
        <f>+K47+K48</f>
        <v>85697</v>
      </c>
      <c r="L51" s="2000"/>
      <c r="M51" s="2030">
        <f>+M47+M48</f>
        <v>77072</v>
      </c>
      <c r="N51" s="2000"/>
      <c r="O51" s="2030">
        <f>+O47+O48</f>
        <v>0</v>
      </c>
      <c r="P51" s="2001"/>
      <c r="Q51" s="2030">
        <f>+Q47+Q48</f>
        <v>162769</v>
      </c>
      <c r="R51" s="2000"/>
      <c r="S51" s="2001"/>
      <c r="T51" s="2073"/>
      <c r="U51" s="2073"/>
      <c r="V51" s="1976"/>
      <c r="W51" s="1974"/>
      <c r="X51" s="1974"/>
      <c r="Y51" s="1976"/>
    </row>
    <row r="52" spans="1:25" s="1978" customFormat="1" ht="17.25" x14ac:dyDescent="0.2">
      <c r="A52" s="2022"/>
      <c r="B52" s="1981"/>
      <c r="C52" s="1991"/>
      <c r="D52" s="1981"/>
      <c r="E52" s="1981"/>
      <c r="F52" s="1979"/>
      <c r="G52" s="2030"/>
      <c r="H52" s="2000"/>
      <c r="I52" s="2030"/>
      <c r="J52" s="2001"/>
      <c r="K52" s="2030"/>
      <c r="L52" s="2000"/>
      <c r="M52" s="2030"/>
      <c r="N52" s="2000"/>
      <c r="O52" s="2030"/>
      <c r="P52" s="2001"/>
      <c r="Q52" s="2030"/>
      <c r="R52" s="2000"/>
      <c r="S52" s="2001"/>
      <c r="T52" s="2073"/>
      <c r="U52" s="2073"/>
      <c r="V52" s="1976"/>
      <c r="W52" s="1974"/>
      <c r="X52" s="1974"/>
      <c r="Y52" s="1976"/>
    </row>
    <row r="53" spans="1:25" s="1978" customFormat="1" ht="17.25" x14ac:dyDescent="0.2">
      <c r="A53" s="1990" t="s">
        <v>2163</v>
      </c>
      <c r="B53" s="1981"/>
      <c r="C53" s="1991"/>
      <c r="E53" s="1978" t="s">
        <v>1231</v>
      </c>
      <c r="G53" s="2012">
        <f>+G51</f>
        <v>60864</v>
      </c>
      <c r="H53" s="2012"/>
      <c r="I53" s="2012">
        <f>+I51</f>
        <v>74042</v>
      </c>
      <c r="J53" s="2012"/>
      <c r="K53" s="2012">
        <f>+K51</f>
        <v>85697</v>
      </c>
      <c r="L53" s="2012"/>
      <c r="M53" s="2012">
        <f>+M51</f>
        <v>77072</v>
      </c>
      <c r="N53" s="2012"/>
      <c r="O53" s="2012">
        <f>+O51</f>
        <v>0</v>
      </c>
      <c r="P53" s="2012"/>
      <c r="Q53" s="2012">
        <f>+Q51</f>
        <v>162769</v>
      </c>
      <c r="R53" s="2000"/>
      <c r="S53" s="2001"/>
      <c r="T53" s="2073"/>
      <c r="U53" s="2073"/>
      <c r="V53" s="1976"/>
      <c r="W53" s="1974"/>
      <c r="X53" s="1974"/>
      <c r="Y53" s="1976"/>
    </row>
    <row r="54" spans="1:25" s="1978" customFormat="1" ht="15" x14ac:dyDescent="0.2">
      <c r="D54" s="1981"/>
      <c r="E54" s="1981"/>
      <c r="F54" s="1979"/>
      <c r="G54" s="2000"/>
      <c r="H54" s="2000"/>
      <c r="I54" s="2000"/>
      <c r="J54" s="2001"/>
      <c r="K54" s="2000"/>
      <c r="L54" s="2000"/>
      <c r="M54" s="2000"/>
      <c r="N54" s="2000"/>
      <c r="O54" s="2000"/>
      <c r="P54" s="2001"/>
      <c r="Q54" s="2000"/>
      <c r="R54" s="2000"/>
      <c r="S54" s="2001"/>
      <c r="T54" s="2073"/>
      <c r="U54" s="2073"/>
      <c r="V54" s="1975"/>
      <c r="W54" s="1974"/>
      <c r="X54" s="1974"/>
      <c r="Y54" s="2077"/>
    </row>
    <row r="55" spans="1:25" s="1978" customFormat="1" ht="17.25" x14ac:dyDescent="0.2">
      <c r="A55" s="2022" t="s">
        <v>2164</v>
      </c>
      <c r="C55" s="2031"/>
      <c r="D55" s="1981"/>
      <c r="E55" s="1981"/>
      <c r="F55" s="1979"/>
      <c r="G55" s="2032">
        <f>+G42+G53</f>
        <v>1216920</v>
      </c>
      <c r="H55" s="2032"/>
      <c r="I55" s="2032">
        <f>+I42+I53</f>
        <v>1662863</v>
      </c>
      <c r="J55" s="2032"/>
      <c r="K55" s="2032">
        <f>+K42+K53</f>
        <v>1698865</v>
      </c>
      <c r="L55" s="2032"/>
      <c r="M55" s="2032">
        <f>+M42+M53</f>
        <v>1636750</v>
      </c>
      <c r="N55" s="2032"/>
      <c r="O55" s="2032">
        <f>+O42+O53</f>
        <v>171369</v>
      </c>
      <c r="P55" s="2032"/>
      <c r="Q55" s="2032">
        <f>+Q42+Q53</f>
        <v>3506984</v>
      </c>
      <c r="R55" s="2033" t="s">
        <v>1231</v>
      </c>
      <c r="S55" s="2026"/>
      <c r="T55" s="2073"/>
      <c r="U55" s="2073"/>
      <c r="V55" s="1976"/>
      <c r="W55" s="1974"/>
      <c r="X55" s="1974"/>
      <c r="Y55" s="1976"/>
    </row>
    <row r="56" spans="1:25" s="1978" customFormat="1" ht="17.25" x14ac:dyDescent="0.2">
      <c r="A56" s="2022"/>
      <c r="C56" s="2031"/>
      <c r="D56" s="1981"/>
      <c r="E56" s="1981"/>
      <c r="F56" s="1979"/>
      <c r="G56" s="2032"/>
      <c r="H56" s="2032"/>
      <c r="I56" s="2032"/>
      <c r="J56" s="2032"/>
      <c r="K56" s="2032"/>
      <c r="L56" s="2032"/>
      <c r="M56" s="2032"/>
      <c r="N56" s="2032"/>
      <c r="O56" s="2032"/>
      <c r="P56" s="2032"/>
      <c r="Q56" s="2032"/>
      <c r="R56" s="2033"/>
      <c r="S56" s="2026"/>
      <c r="T56" s="2073"/>
      <c r="U56" s="2073"/>
      <c r="V56" s="2065"/>
      <c r="W56" s="1974"/>
      <c r="X56" s="1974"/>
      <c r="Y56" s="1976"/>
    </row>
    <row r="57" spans="1:25" s="1978" customFormat="1" ht="17.25" x14ac:dyDescent="0.2">
      <c r="A57" s="2022"/>
      <c r="C57" s="2031"/>
      <c r="D57" s="1981"/>
      <c r="E57" s="1981"/>
      <c r="F57" s="1979"/>
      <c r="G57" s="2032"/>
      <c r="H57" s="2032"/>
      <c r="I57" s="2032"/>
      <c r="J57" s="2032"/>
      <c r="K57" s="2032"/>
      <c r="L57" s="2032"/>
      <c r="M57" s="2032"/>
      <c r="N57" s="2032"/>
      <c r="O57" s="2032"/>
      <c r="P57" s="2032"/>
      <c r="Q57" s="2032"/>
      <c r="R57" s="2033"/>
      <c r="S57" s="2026"/>
      <c r="T57" s="2073"/>
      <c r="U57" s="2073"/>
      <c r="V57" s="1974"/>
      <c r="W57" s="1974"/>
      <c r="X57" s="1974"/>
      <c r="Y57" s="1976"/>
    </row>
    <row r="58" spans="1:25" s="1978" customFormat="1" ht="15" x14ac:dyDescent="0.2">
      <c r="A58" s="1981" t="s">
        <v>2165</v>
      </c>
      <c r="B58" s="1981"/>
      <c r="C58" s="1981"/>
      <c r="D58" s="1981"/>
      <c r="E58" s="1981"/>
      <c r="F58" s="1979"/>
      <c r="G58" s="2000"/>
      <c r="H58" s="2000"/>
      <c r="I58" s="2000"/>
      <c r="J58" s="2001"/>
      <c r="K58" s="2000"/>
      <c r="L58" s="2000"/>
      <c r="M58" s="2000"/>
      <c r="N58" s="2000"/>
      <c r="O58" s="2000"/>
      <c r="P58" s="2001"/>
      <c r="Q58" s="2000"/>
      <c r="R58" s="2000"/>
      <c r="S58" s="2001"/>
      <c r="T58" s="2075"/>
      <c r="U58" s="2075"/>
      <c r="V58" s="2076"/>
      <c r="W58" s="1974"/>
      <c r="X58" s="1974"/>
      <c r="Y58" s="1974"/>
    </row>
    <row r="59" spans="1:25" s="1978" customFormat="1" ht="15" hidden="1" x14ac:dyDescent="0.2">
      <c r="A59" s="1981"/>
      <c r="B59" s="1981"/>
      <c r="C59" s="1981"/>
      <c r="D59" s="1981"/>
      <c r="E59" s="1981"/>
      <c r="F59" s="1979"/>
      <c r="G59" s="2000"/>
      <c r="H59" s="2000"/>
      <c r="I59" s="2000"/>
      <c r="J59" s="2001"/>
      <c r="K59" s="2000"/>
      <c r="L59" s="2000"/>
      <c r="M59" s="2000"/>
      <c r="N59" s="2000"/>
      <c r="O59" s="2000"/>
      <c r="P59" s="2001"/>
      <c r="Q59" s="2000"/>
      <c r="R59" s="2000"/>
      <c r="S59" s="2001"/>
      <c r="T59" s="2075"/>
      <c r="U59" s="2075"/>
      <c r="V59" s="1976"/>
      <c r="W59" s="1974"/>
      <c r="X59" s="1974"/>
      <c r="Y59" s="1974"/>
    </row>
    <row r="60" spans="1:25" s="1978" customFormat="1" ht="15" hidden="1" x14ac:dyDescent="0.2">
      <c r="A60" s="1980" t="s">
        <v>2166</v>
      </c>
      <c r="F60" s="2025"/>
      <c r="G60" s="2034"/>
      <c r="H60" s="2034"/>
      <c r="I60" s="2034"/>
      <c r="J60" s="2035"/>
      <c r="K60" s="2034"/>
      <c r="L60" s="2034"/>
      <c r="M60" s="2036" t="s">
        <v>1231</v>
      </c>
      <c r="N60" s="2034"/>
      <c r="O60" s="2034" t="s">
        <v>1231</v>
      </c>
      <c r="P60" s="2035"/>
      <c r="Q60" s="2034"/>
      <c r="R60" s="2034"/>
      <c r="S60" s="2035"/>
      <c r="T60" s="2073"/>
      <c r="U60" s="2073"/>
      <c r="V60" s="2077"/>
      <c r="W60" s="2078"/>
      <c r="X60" s="2078"/>
      <c r="Y60" s="1976"/>
    </row>
    <row r="61" spans="1:25" s="1978" customFormat="1" ht="15" hidden="1" x14ac:dyDescent="0.2">
      <c r="A61" s="1979"/>
      <c r="B61" s="2037" t="s">
        <v>2167</v>
      </c>
      <c r="C61" s="2038"/>
      <c r="F61" s="2025"/>
      <c r="G61" s="2034"/>
      <c r="H61" s="2034"/>
      <c r="I61" s="2034"/>
      <c r="J61" s="2035"/>
      <c r="K61" s="2034"/>
      <c r="L61" s="2034"/>
      <c r="M61" s="2034" t="s">
        <v>1231</v>
      </c>
      <c r="N61" s="2034"/>
      <c r="O61" s="2034"/>
      <c r="P61" s="2035"/>
      <c r="Q61" s="2034"/>
      <c r="R61" s="2034"/>
      <c r="S61" s="2035"/>
      <c r="T61" s="2075"/>
      <c r="U61" s="2075"/>
      <c r="V61" s="2077"/>
      <c r="W61" s="2078"/>
      <c r="X61" s="2078"/>
      <c r="Y61" s="1976"/>
    </row>
    <row r="62" spans="1:25" s="1978" customFormat="1" ht="15" hidden="1" x14ac:dyDescent="0.2">
      <c r="A62" s="1979"/>
      <c r="B62" s="1981"/>
      <c r="C62" s="2039"/>
      <c r="F62" s="2025"/>
      <c r="G62" s="2034"/>
      <c r="H62" s="2034"/>
      <c r="I62" s="2034"/>
      <c r="J62" s="2035"/>
      <c r="K62" s="2034"/>
      <c r="L62" s="2034"/>
      <c r="M62" s="2034"/>
      <c r="N62" s="2034"/>
      <c r="O62" s="2034"/>
      <c r="P62" s="2035"/>
      <c r="Q62" s="2034"/>
      <c r="R62" s="2034"/>
      <c r="S62" s="2035"/>
      <c r="T62" s="2075"/>
      <c r="U62" s="2075"/>
      <c r="V62" s="2077"/>
      <c r="W62" s="2078"/>
      <c r="X62" s="2078"/>
      <c r="Y62" s="1976"/>
    </row>
    <row r="63" spans="1:25" s="1978" customFormat="1" ht="15" x14ac:dyDescent="0.2">
      <c r="A63" s="2009" t="s">
        <v>2168</v>
      </c>
      <c r="C63" s="2039"/>
      <c r="F63" s="2025"/>
      <c r="G63" s="2034"/>
      <c r="H63" s="2034"/>
      <c r="I63" s="2034"/>
      <c r="J63" s="2035"/>
      <c r="K63" s="2034"/>
      <c r="L63" s="2034"/>
      <c r="M63" s="2034"/>
      <c r="N63" s="2034"/>
      <c r="O63" s="2034"/>
      <c r="P63" s="2035"/>
      <c r="Q63" s="2034"/>
      <c r="R63" s="2034"/>
      <c r="S63" s="2035"/>
      <c r="T63" s="2077"/>
      <c r="U63" s="2077"/>
      <c r="V63" s="2077"/>
      <c r="W63" s="2077"/>
      <c r="X63" s="2077"/>
      <c r="Y63" s="2077"/>
    </row>
    <row r="64" spans="1:25" x14ac:dyDescent="0.2">
      <c r="C64" s="2040"/>
      <c r="G64" s="2041"/>
      <c r="H64" s="2041"/>
      <c r="I64" s="2041"/>
      <c r="J64" s="2042"/>
      <c r="K64" s="2041"/>
      <c r="L64" s="2041"/>
      <c r="M64" s="2041"/>
      <c r="N64" s="2041"/>
      <c r="O64" s="2041"/>
      <c r="P64" s="2042"/>
      <c r="Q64" s="2041"/>
      <c r="R64" s="2041"/>
      <c r="S64" s="2042"/>
    </row>
    <row r="65" spans="1:25" x14ac:dyDescent="0.2">
      <c r="C65" s="2040"/>
      <c r="G65" s="2041"/>
      <c r="H65" s="2041"/>
      <c r="I65" s="2041"/>
      <c r="J65" s="2042"/>
      <c r="K65" s="2041"/>
      <c r="L65" s="2041"/>
      <c r="M65" s="2041"/>
      <c r="N65" s="2041"/>
      <c r="O65" s="2041"/>
      <c r="P65" s="2042"/>
      <c r="Q65" s="2041"/>
      <c r="R65" s="2041"/>
      <c r="S65" s="2042"/>
    </row>
    <row r="66" spans="1:25" x14ac:dyDescent="0.2">
      <c r="C66" s="2040"/>
      <c r="G66" s="2041"/>
      <c r="H66" s="2041"/>
      <c r="I66" s="2041"/>
      <c r="J66" s="2042"/>
      <c r="K66" s="2041"/>
      <c r="L66" s="2041"/>
      <c r="M66" s="2041"/>
      <c r="N66" s="2041"/>
      <c r="O66" s="2041"/>
      <c r="P66" s="2042"/>
      <c r="Q66" s="2041"/>
      <c r="R66" s="2041"/>
      <c r="S66" s="2042"/>
    </row>
    <row r="67" spans="1:25" s="2044" customFormat="1" x14ac:dyDescent="0.2">
      <c r="A67" s="2043"/>
      <c r="C67" s="2045"/>
      <c r="F67" s="2046"/>
      <c r="G67" s="2047"/>
      <c r="H67" s="2047"/>
      <c r="I67" s="2047"/>
      <c r="J67" s="2048"/>
      <c r="K67" s="2047"/>
      <c r="L67" s="2047"/>
      <c r="M67" s="2047"/>
      <c r="N67" s="2047"/>
      <c r="O67" s="2047"/>
      <c r="P67" s="2048"/>
      <c r="Q67" s="2047"/>
      <c r="R67" s="2047"/>
      <c r="S67" s="2048"/>
      <c r="T67" s="1962"/>
      <c r="U67" s="1962"/>
      <c r="V67" s="1962"/>
      <c r="W67" s="1962"/>
      <c r="X67" s="1962"/>
      <c r="Y67" s="1962"/>
    </row>
    <row r="68" spans="1:25" s="2049" customFormat="1" ht="13.5" customHeight="1" x14ac:dyDescent="0.2">
      <c r="A68" s="2580" t="s">
        <v>2169</v>
      </c>
      <c r="B68" s="2580"/>
      <c r="C68" s="2580"/>
      <c r="D68" s="2580"/>
      <c r="E68" s="2580"/>
      <c r="F68" s="2580"/>
      <c r="G68" s="2580"/>
      <c r="H68" s="2580"/>
      <c r="I68" s="2580"/>
      <c r="J68" s="2580"/>
      <c r="K68" s="2580"/>
      <c r="L68" s="2580"/>
      <c r="M68" s="2580"/>
      <c r="S68" s="2050"/>
      <c r="T68" s="1962"/>
      <c r="U68" s="1962"/>
      <c r="V68" s="1962"/>
      <c r="W68" s="1962"/>
      <c r="X68" s="1962"/>
      <c r="Y68" s="1962"/>
    </row>
    <row r="69" spans="1:25" s="2049" customFormat="1" ht="13.5" customHeight="1" x14ac:dyDescent="0.2">
      <c r="A69" s="2581" t="s">
        <v>2170</v>
      </c>
      <c r="B69" s="2581"/>
      <c r="C69" s="2581"/>
      <c r="D69" s="2581"/>
      <c r="E69" s="2581"/>
      <c r="F69" s="2581"/>
      <c r="G69" s="2581"/>
      <c r="H69" s="2581"/>
      <c r="I69" s="2581"/>
      <c r="J69" s="2581"/>
      <c r="K69" s="2581"/>
      <c r="L69" s="2581"/>
      <c r="M69" s="2581"/>
      <c r="S69" s="2050"/>
      <c r="T69" s="1962"/>
      <c r="U69" s="1962"/>
      <c r="V69" s="1962"/>
      <c r="W69" s="1962"/>
      <c r="X69" s="1962"/>
      <c r="Y69" s="1962"/>
    </row>
    <row r="70" spans="1:25" s="2049" customFormat="1" ht="13.5" customHeight="1" x14ac:dyDescent="0.2">
      <c r="A70" s="2580" t="s">
        <v>2171</v>
      </c>
      <c r="B70" s="2580"/>
      <c r="C70" s="2580"/>
      <c r="D70" s="2580"/>
      <c r="E70" s="2580"/>
      <c r="F70" s="2580"/>
      <c r="G70" s="2580"/>
      <c r="H70" s="2580"/>
      <c r="I70" s="2580"/>
      <c r="J70" s="2580"/>
      <c r="K70" s="2580"/>
      <c r="L70" s="2580"/>
      <c r="M70" s="2580"/>
      <c r="S70" s="2050"/>
      <c r="T70" s="1962"/>
      <c r="U70" s="1962"/>
      <c r="V70" s="1962"/>
      <c r="W70" s="1962"/>
      <c r="X70" s="1962"/>
      <c r="Y70" s="1962"/>
    </row>
    <row r="71" spans="1:25" s="2049" customFormat="1" ht="13.5" customHeight="1" x14ac:dyDescent="0.2">
      <c r="A71" s="2051" t="s">
        <v>2172</v>
      </c>
      <c r="B71" s="2051"/>
      <c r="C71" s="2051"/>
      <c r="D71" s="2051"/>
      <c r="E71" s="2051"/>
      <c r="F71" s="2051"/>
      <c r="G71" s="2051"/>
      <c r="H71" s="2051"/>
      <c r="I71" s="2051"/>
      <c r="J71" s="2051"/>
      <c r="K71" s="2051"/>
      <c r="L71" s="2051"/>
      <c r="M71" s="2051"/>
      <c r="S71" s="2050"/>
      <c r="T71" s="1962"/>
      <c r="U71" s="1962"/>
      <c r="V71" s="1962"/>
      <c r="W71" s="1962"/>
      <c r="X71" s="1962"/>
      <c r="Y71" s="1962"/>
    </row>
    <row r="72" spans="1:25" s="2049" customFormat="1" ht="13.5" customHeight="1" x14ac:dyDescent="0.2">
      <c r="A72" s="2052" t="s">
        <v>2173</v>
      </c>
      <c r="B72" s="2053"/>
      <c r="C72" s="2054"/>
      <c r="D72" s="2055"/>
      <c r="E72" s="2055"/>
      <c r="F72" s="2055"/>
      <c r="G72" s="2055"/>
      <c r="H72" s="2055"/>
      <c r="I72" s="2055"/>
      <c r="J72" s="2055"/>
      <c r="S72" s="2050"/>
      <c r="T72" s="1962"/>
      <c r="U72" s="1962"/>
      <c r="V72" s="1962"/>
      <c r="W72" s="1962"/>
      <c r="X72" s="1962"/>
      <c r="Y72" s="1962"/>
    </row>
    <row r="73" spans="1:25" s="2049" customFormat="1" ht="13.5" customHeight="1" x14ac:dyDescent="0.2">
      <c r="A73" s="2052" t="s">
        <v>2174</v>
      </c>
      <c r="B73" s="2053"/>
      <c r="C73" s="2054"/>
      <c r="D73" s="2055"/>
      <c r="E73" s="2055"/>
      <c r="F73" s="2055"/>
      <c r="G73" s="2055"/>
      <c r="H73" s="2055"/>
      <c r="I73" s="2055"/>
      <c r="J73" s="2055"/>
      <c r="S73" s="2050"/>
      <c r="T73" s="1962"/>
      <c r="U73" s="1962"/>
      <c r="V73" s="1962"/>
      <c r="W73" s="1962"/>
      <c r="X73" s="1962"/>
      <c r="Y73" s="1962"/>
    </row>
    <row r="74" spans="1:25" s="2049" customFormat="1" ht="13.5" customHeight="1" x14ac:dyDescent="0.2">
      <c r="A74" s="2055" t="s">
        <v>2175</v>
      </c>
      <c r="B74" s="2056"/>
      <c r="C74" s="2057"/>
      <c r="S74" s="2050"/>
      <c r="T74" s="1962"/>
      <c r="U74" s="1962"/>
      <c r="V74" s="1962"/>
      <c r="W74" s="1962"/>
      <c r="X74" s="1962"/>
      <c r="Y74" s="1962"/>
    </row>
    <row r="75" spans="1:25" s="2049" customFormat="1" ht="13.5" customHeight="1" x14ac:dyDescent="0.2">
      <c r="A75" s="2055" t="s">
        <v>2176</v>
      </c>
      <c r="B75" s="2056"/>
      <c r="C75" s="2057"/>
      <c r="S75" s="2050"/>
      <c r="T75" s="1962"/>
      <c r="U75" s="1962"/>
      <c r="V75" s="1962"/>
      <c r="W75" s="1962"/>
      <c r="X75" s="1962"/>
      <c r="Y75" s="1962"/>
    </row>
    <row r="76" spans="1:25" s="2049" customFormat="1" ht="13.5" customHeight="1" x14ac:dyDescent="0.2">
      <c r="A76" s="2055" t="s">
        <v>2177</v>
      </c>
      <c r="B76" s="2056"/>
      <c r="C76" s="2057"/>
      <c r="S76" s="2050"/>
      <c r="T76" s="1962"/>
      <c r="U76" s="1962"/>
      <c r="V76" s="1962"/>
      <c r="W76" s="1962"/>
      <c r="X76" s="1962"/>
      <c r="Y76" s="1962"/>
    </row>
    <row r="77" spans="1:25" s="2058" customFormat="1" ht="13.5" customHeight="1" x14ac:dyDescent="0.15">
      <c r="B77" s="2059"/>
      <c r="C77" s="2060"/>
      <c r="F77" s="2061"/>
      <c r="G77" s="2061"/>
      <c r="H77" s="2061"/>
      <c r="I77" s="2061"/>
      <c r="J77" s="2062"/>
      <c r="S77" s="2061"/>
      <c r="T77" s="1962"/>
      <c r="U77" s="1962"/>
      <c r="V77" s="1962"/>
      <c r="W77" s="1962"/>
      <c r="X77" s="1962"/>
      <c r="Y77" s="1962"/>
    </row>
  </sheetData>
  <mergeCells count="10">
    <mergeCell ref="A70:M70"/>
    <mergeCell ref="A4:S4"/>
    <mergeCell ref="A5:S5"/>
    <mergeCell ref="A6:S6"/>
    <mergeCell ref="A7:S7"/>
    <mergeCell ref="T10:X10"/>
    <mergeCell ref="T11:V11"/>
    <mergeCell ref="A26:B26"/>
    <mergeCell ref="A68:M68"/>
    <mergeCell ref="A69:M69"/>
  </mergeCells>
  <printOptions gridLinesSet="0"/>
  <pageMargins left="0.25" right="0.25" top="0.5" bottom="0" header="0.5" footer="0"/>
  <pageSetup scale="63" fitToHeight="5" orientation="landscape" r:id="rId1"/>
  <headerFooter alignWithMargins="0">
    <oddFooter xml:space="preserve">&amp;L&amp;"Times New Roman,Regular"See accompanying notes to the Schedule of Expenditures of Federal Awards
</oddFooter>
  </headerFooter>
  <rowBreaks count="1" manualBreakCount="1">
    <brk id="42" max="1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585" t="str">
        <f>'Single Audit Cover'!A7</f>
        <v>Henry-Stark County SpEd District</v>
      </c>
      <c r="B1" s="2585"/>
      <c r="C1" s="2585"/>
      <c r="D1" s="2585"/>
      <c r="E1" s="2585"/>
      <c r="F1" s="2585"/>
    </row>
    <row r="2" spans="1:7" ht="13.5" customHeight="1" x14ac:dyDescent="0.2">
      <c r="A2" s="2586">
        <f>'Single Audit Cover'!E7</f>
        <v>28037801060</v>
      </c>
      <c r="B2" s="2586"/>
      <c r="C2" s="2586"/>
      <c r="D2" s="2586"/>
      <c r="E2" s="2586"/>
      <c r="F2" s="2586"/>
      <c r="G2" s="1273"/>
    </row>
    <row r="3" spans="1:7" ht="15.95" customHeight="1" x14ac:dyDescent="0.2">
      <c r="A3" s="2587" t="s">
        <v>1333</v>
      </c>
      <c r="B3" s="2587"/>
      <c r="C3" s="2587"/>
      <c r="D3" s="2587"/>
      <c r="E3" s="2587"/>
      <c r="F3" s="2587"/>
    </row>
    <row r="4" spans="1:7" ht="13.5" customHeight="1" x14ac:dyDescent="0.2">
      <c r="A4" s="2588" t="str">
        <f>'Single Audit Cover'!A4</f>
        <v>Year Ending June 30, 2018</v>
      </c>
      <c r="B4" s="2588"/>
      <c r="C4" s="2588"/>
      <c r="D4" s="2588"/>
      <c r="E4" s="2588"/>
      <c r="F4" s="2588"/>
    </row>
    <row r="5" spans="1:7" ht="8.25" customHeight="1" x14ac:dyDescent="0.2">
      <c r="C5" s="317"/>
      <c r="D5" s="317"/>
    </row>
    <row r="6" spans="1:7" ht="13.5" customHeight="1" x14ac:dyDescent="0.2">
      <c r="A6" s="1274" t="s">
        <v>1831</v>
      </c>
      <c r="C6" s="317"/>
      <c r="D6" s="317"/>
    </row>
    <row r="7" spans="1:7" ht="60.95" customHeight="1" x14ac:dyDescent="0.2">
      <c r="A7" s="2584" t="s">
        <v>2095</v>
      </c>
      <c r="B7" s="2584"/>
      <c r="C7" s="2584"/>
      <c r="D7" s="2584"/>
      <c r="E7" s="2584"/>
      <c r="F7" s="2584"/>
    </row>
    <row r="8" spans="1:7" ht="12" customHeight="1" x14ac:dyDescent="0.2">
      <c r="A8" s="1274"/>
      <c r="B8" s="1280"/>
      <c r="C8" s="1280"/>
      <c r="D8" s="1280"/>
    </row>
    <row r="9" spans="1:7" ht="15" customHeight="1" x14ac:dyDescent="0.2">
      <c r="A9" s="1275" t="s">
        <v>1832</v>
      </c>
      <c r="B9" s="1278"/>
      <c r="C9" s="1278"/>
      <c r="D9" s="1278"/>
      <c r="E9" s="1276"/>
      <c r="F9" s="1276"/>
      <c r="G9" s="1276"/>
    </row>
    <row r="10" spans="1:7" ht="15" customHeight="1" x14ac:dyDescent="0.2">
      <c r="A10" s="1277" t="s">
        <v>1628</v>
      </c>
      <c r="B10" s="1278"/>
      <c r="C10" s="1279"/>
      <c r="D10" s="1278" t="s">
        <v>1629</v>
      </c>
      <c r="E10" s="1279" t="s">
        <v>2094</v>
      </c>
      <c r="F10" s="1278" t="s">
        <v>101</v>
      </c>
      <c r="G10" s="1276"/>
    </row>
    <row r="11" spans="1:7" ht="12" customHeight="1" x14ac:dyDescent="0.2">
      <c r="A11" s="1277"/>
      <c r="B11" s="1278"/>
      <c r="C11" s="1925"/>
      <c r="D11" s="1278"/>
      <c r="E11" s="1925"/>
      <c r="F11" s="1278"/>
      <c r="G11" s="1276"/>
    </row>
    <row r="12" spans="1:7" x14ac:dyDescent="0.2">
      <c r="A12" s="1274" t="s">
        <v>1669</v>
      </c>
      <c r="C12" s="1258"/>
      <c r="D12" s="1258"/>
    </row>
    <row r="13" spans="1:7" ht="23.45" customHeight="1" x14ac:dyDescent="0.2">
      <c r="A13" s="2584" t="s">
        <v>2098</v>
      </c>
      <c r="B13" s="2584"/>
      <c r="C13" s="2584"/>
      <c r="D13" s="2584"/>
      <c r="E13" s="2584"/>
      <c r="F13" s="2584"/>
    </row>
    <row r="14" spans="1:7" ht="9.75" customHeight="1" x14ac:dyDescent="0.2">
      <c r="C14" s="1258"/>
      <c r="D14" s="1258"/>
    </row>
    <row r="15" spans="1:7" ht="13.5" customHeight="1" x14ac:dyDescent="0.2">
      <c r="C15" s="1869" t="s">
        <v>1332</v>
      </c>
      <c r="D15" s="2590" t="s">
        <v>1331</v>
      </c>
      <c r="E15" s="2590"/>
      <c r="F15" s="2590"/>
    </row>
    <row r="16" spans="1:7" ht="13.5" customHeight="1" x14ac:dyDescent="0.2">
      <c r="A16" s="1280"/>
      <c r="B16" s="1274" t="s">
        <v>1330</v>
      </c>
      <c r="C16" s="1869" t="s">
        <v>1329</v>
      </c>
      <c r="D16" s="2591" t="s">
        <v>1670</v>
      </c>
      <c r="E16" s="2591"/>
      <c r="F16" s="2591"/>
    </row>
    <row r="17" spans="1:6" ht="20.45" customHeight="1" x14ac:dyDescent="0.2">
      <c r="A17" s="1281"/>
      <c r="B17" s="1954" t="s">
        <v>2096</v>
      </c>
      <c r="C17" s="1283"/>
      <c r="D17" s="2589"/>
      <c r="E17" s="2589"/>
      <c r="F17" s="2589"/>
    </row>
    <row r="18" spans="1:6" ht="20.65" customHeight="1" x14ac:dyDescent="0.2">
      <c r="A18" s="1281"/>
      <c r="B18" s="1282"/>
      <c r="C18" s="1283"/>
      <c r="D18" s="2589"/>
      <c r="E18" s="2589"/>
      <c r="F18" s="2589"/>
    </row>
    <row r="19" spans="1:6" ht="20.65" hidden="1" customHeight="1" x14ac:dyDescent="0.2">
      <c r="A19" s="1281"/>
      <c r="B19" s="1282"/>
      <c r="C19" s="1283"/>
      <c r="D19" s="2589"/>
      <c r="E19" s="2589"/>
      <c r="F19" s="2589"/>
    </row>
    <row r="20" spans="1:6" ht="20.65" hidden="1" customHeight="1" x14ac:dyDescent="0.2">
      <c r="A20" s="1281"/>
      <c r="B20" s="1282"/>
      <c r="C20" s="1283"/>
      <c r="D20" s="2589"/>
      <c r="E20" s="2589"/>
      <c r="F20" s="2589"/>
    </row>
    <row r="21" spans="1:6" ht="20.65" hidden="1" customHeight="1" x14ac:dyDescent="0.2">
      <c r="A21" s="1281"/>
      <c r="B21" s="1282"/>
      <c r="C21" s="1283"/>
      <c r="D21" s="2589"/>
      <c r="E21" s="2589"/>
      <c r="F21" s="2589"/>
    </row>
    <row r="22" spans="1:6" ht="20.65" hidden="1" customHeight="1" x14ac:dyDescent="0.2">
      <c r="A22" s="1281"/>
      <c r="B22" s="1282"/>
      <c r="C22" s="1283"/>
      <c r="D22" s="2589"/>
      <c r="E22" s="2589"/>
      <c r="F22" s="2589"/>
    </row>
    <row r="23" spans="1:6" ht="20.65" hidden="1" customHeight="1" x14ac:dyDescent="0.2">
      <c r="A23" s="1281"/>
      <c r="B23" s="1282"/>
      <c r="C23" s="1283"/>
      <c r="D23" s="2589"/>
      <c r="E23" s="2589"/>
      <c r="F23" s="2589"/>
    </row>
    <row r="24" spans="1:6" ht="20.65" hidden="1" customHeight="1" x14ac:dyDescent="0.2">
      <c r="A24" s="1281"/>
      <c r="B24" s="1282"/>
      <c r="C24" s="1283"/>
      <c r="D24" s="2589"/>
      <c r="E24" s="2589"/>
      <c r="F24" s="2589"/>
    </row>
    <row r="25" spans="1:6" ht="20.65" hidden="1" customHeight="1" x14ac:dyDescent="0.2">
      <c r="A25" s="1281"/>
      <c r="B25" s="1282"/>
      <c r="C25" s="1283"/>
      <c r="D25" s="2589"/>
      <c r="E25" s="2589"/>
      <c r="F25" s="2589"/>
    </row>
    <row r="26" spans="1:6" ht="20.65" hidden="1" customHeight="1" x14ac:dyDescent="0.2">
      <c r="A26" s="1281"/>
      <c r="B26" s="1282"/>
      <c r="C26" s="1283"/>
      <c r="D26" s="2589"/>
      <c r="E26" s="2589"/>
      <c r="F26" s="2589"/>
    </row>
    <row r="27" spans="1:6" ht="20.65" hidden="1" customHeight="1" x14ac:dyDescent="0.2">
      <c r="A27" s="1281"/>
      <c r="B27" s="1282"/>
      <c r="C27" s="1283"/>
      <c r="D27" s="2589"/>
      <c r="E27" s="2589"/>
      <c r="F27" s="2589"/>
    </row>
    <row r="28" spans="1:6" ht="20.65" hidden="1" customHeight="1" x14ac:dyDescent="0.2">
      <c r="A28" s="1281"/>
      <c r="B28" s="1282"/>
      <c r="C28" s="1283"/>
      <c r="D28" s="2589"/>
      <c r="E28" s="2589"/>
      <c r="F28" s="2589"/>
    </row>
    <row r="29" spans="1:6" ht="20.65" hidden="1" customHeight="1" x14ac:dyDescent="0.2">
      <c r="A29" s="1281"/>
      <c r="B29" s="1282"/>
      <c r="C29" s="1283"/>
      <c r="D29" s="2589"/>
      <c r="E29" s="2589"/>
      <c r="F29" s="2589"/>
    </row>
    <row r="30" spans="1:6" ht="12" customHeight="1" x14ac:dyDescent="0.2">
      <c r="A30" s="328"/>
      <c r="B30" s="328"/>
      <c r="C30" s="1476"/>
      <c r="D30" s="1926"/>
      <c r="E30" s="1284"/>
    </row>
    <row r="31" spans="1:6" ht="12" customHeight="1" x14ac:dyDescent="0.2">
      <c r="A31" s="1285" t="s">
        <v>1630</v>
      </c>
      <c r="B31" s="328"/>
      <c r="C31" s="1476"/>
      <c r="D31" s="1926"/>
      <c r="E31" s="1284"/>
    </row>
    <row r="32" spans="1:6" ht="30" customHeight="1" x14ac:dyDescent="0.2">
      <c r="A32" s="2593" t="s">
        <v>2097</v>
      </c>
      <c r="B32" s="2593"/>
      <c r="C32" s="2593"/>
      <c r="D32" s="2593"/>
      <c r="E32" s="2593"/>
      <c r="F32" s="2593"/>
    </row>
    <row r="33" spans="1:6" ht="13.5" customHeight="1" x14ac:dyDescent="0.2">
      <c r="A33" s="328" t="s">
        <v>1509</v>
      </c>
      <c r="B33" s="328"/>
      <c r="C33" s="1286">
        <v>0</v>
      </c>
      <c r="D33" s="1926"/>
      <c r="E33" s="1284"/>
    </row>
    <row r="34" spans="1:6" ht="13.5" customHeight="1" x14ac:dyDescent="0.2">
      <c r="A34" s="328" t="s">
        <v>1946</v>
      </c>
      <c r="B34" s="328"/>
      <c r="C34" s="1287">
        <v>0</v>
      </c>
      <c r="D34" s="1926" t="s">
        <v>1671</v>
      </c>
      <c r="E34" s="2594">
        <f>+C33+C34</f>
        <v>0</v>
      </c>
      <c r="F34" s="2595"/>
    </row>
    <row r="35" spans="1:6" ht="12" customHeight="1" x14ac:dyDescent="0.2">
      <c r="A35" s="328"/>
      <c r="B35" s="328"/>
      <c r="C35" s="1927"/>
      <c r="D35" s="1926"/>
      <c r="E35" s="1288"/>
      <c r="F35" s="1289"/>
    </row>
    <row r="36" spans="1:6" ht="13.5" customHeight="1" x14ac:dyDescent="0.2">
      <c r="A36" s="1285" t="s">
        <v>1631</v>
      </c>
      <c r="B36" s="328"/>
      <c r="C36" s="1476"/>
      <c r="D36" s="1926"/>
      <c r="E36" s="1284"/>
    </row>
    <row r="37" spans="1:6" ht="14.25" customHeight="1" x14ac:dyDescent="0.2">
      <c r="A37" s="328" t="s">
        <v>1563</v>
      </c>
      <c r="B37" s="328"/>
      <c r="C37" s="1928"/>
      <c r="D37" s="1926"/>
      <c r="E37" s="1284"/>
    </row>
    <row r="38" spans="1:6" ht="14.25" customHeight="1" x14ac:dyDescent="0.2">
      <c r="A38" s="328"/>
      <c r="B38" s="328" t="s">
        <v>1510</v>
      </c>
      <c r="C38" s="1290">
        <v>0</v>
      </c>
      <c r="D38" s="1926"/>
      <c r="E38" s="1284"/>
    </row>
    <row r="39" spans="1:6" ht="14.25" customHeight="1" x14ac:dyDescent="0.2">
      <c r="A39" s="328"/>
      <c r="B39" s="328" t="s">
        <v>1511</v>
      </c>
      <c r="C39" s="1290">
        <v>0</v>
      </c>
      <c r="D39" s="1926"/>
      <c r="E39" s="1284"/>
    </row>
    <row r="40" spans="1:6" ht="14.25" customHeight="1" x14ac:dyDescent="0.2">
      <c r="A40" s="328"/>
      <c r="B40" s="328" t="s">
        <v>1512</v>
      </c>
      <c r="C40" s="1290">
        <v>0</v>
      </c>
      <c r="D40" s="1926"/>
      <c r="E40" s="1284"/>
    </row>
    <row r="41" spans="1:6" ht="14.25" customHeight="1" x14ac:dyDescent="0.2">
      <c r="A41" s="328"/>
      <c r="B41" s="328" t="s">
        <v>1513</v>
      </c>
      <c r="C41" s="1290">
        <v>0</v>
      </c>
      <c r="D41" s="1926"/>
      <c r="E41" s="1284"/>
    </row>
    <row r="42" spans="1:6" ht="14.25" customHeight="1" x14ac:dyDescent="0.2">
      <c r="A42" s="328" t="s">
        <v>1514</v>
      </c>
      <c r="B42" s="328"/>
      <c r="C42" s="1924">
        <v>0</v>
      </c>
      <c r="D42" s="1926"/>
      <c r="E42" s="1284"/>
    </row>
    <row r="43" spans="1:6" ht="14.25" customHeight="1" x14ac:dyDescent="0.2">
      <c r="A43" s="328" t="s">
        <v>1515</v>
      </c>
      <c r="B43" s="328"/>
      <c r="C43" s="1291" t="s">
        <v>401</v>
      </c>
      <c r="D43" s="1926"/>
      <c r="E43" s="1284"/>
    </row>
    <row r="44" spans="1:6" ht="14.25" customHeight="1" x14ac:dyDescent="0.2">
      <c r="A44" s="328"/>
      <c r="B44" s="328"/>
      <c r="C44" s="1928" t="s">
        <v>1516</v>
      </c>
      <c r="D44" s="1926"/>
      <c r="E44" s="1284"/>
    </row>
    <row r="45" spans="1:6" ht="14.25" customHeight="1" x14ac:dyDescent="0.2">
      <c r="A45" s="328"/>
      <c r="B45" s="328"/>
      <c r="C45" s="1928"/>
      <c r="D45" s="1926"/>
      <c r="E45" s="1284"/>
    </row>
    <row r="46" spans="1:6" ht="14.25" customHeight="1" x14ac:dyDescent="0.2">
      <c r="A46" s="1285" t="s">
        <v>2104</v>
      </c>
      <c r="B46" s="328"/>
      <c r="C46" s="1928"/>
      <c r="D46" s="1926"/>
      <c r="E46" s="1284"/>
    </row>
    <row r="47" spans="1:6" ht="14.25" customHeight="1" x14ac:dyDescent="0.2">
      <c r="A47" s="328"/>
      <c r="B47" s="2597" t="s">
        <v>2099</v>
      </c>
      <c r="C47" s="2598"/>
      <c r="D47" s="2598"/>
      <c r="E47" s="2598"/>
    </row>
    <row r="48" spans="1:6" ht="14.25" customHeight="1" x14ac:dyDescent="0.2">
      <c r="A48" s="328"/>
      <c r="B48" s="2598"/>
      <c r="C48" s="2598"/>
      <c r="D48" s="2598"/>
      <c r="E48" s="2598"/>
    </row>
    <row r="49" spans="1:6" ht="13.5" customHeight="1" x14ac:dyDescent="0.2">
      <c r="B49" s="2598"/>
      <c r="C49" s="2598"/>
      <c r="D49" s="2598"/>
      <c r="E49" s="2598"/>
    </row>
    <row r="50" spans="1:6" x14ac:dyDescent="0.2">
      <c r="A50" s="1293" t="s">
        <v>1833</v>
      </c>
      <c r="C50" s="317"/>
      <c r="D50" s="317"/>
    </row>
    <row r="51" spans="1:6" s="322" customFormat="1" ht="11.25" customHeight="1" x14ac:dyDescent="0.2">
      <c r="A51" s="1294"/>
      <c r="B51" s="1295"/>
      <c r="C51" s="1295"/>
      <c r="D51" s="1295"/>
      <c r="E51" s="1295"/>
      <c r="F51" s="1295"/>
    </row>
    <row r="52" spans="1:6" s="322" customFormat="1" ht="6" customHeight="1" x14ac:dyDescent="0.2">
      <c r="A52" s="1296"/>
    </row>
    <row r="53" spans="1:6" s="1298" customFormat="1" ht="23.45" customHeight="1" x14ac:dyDescent="0.2">
      <c r="A53" s="1297">
        <v>5</v>
      </c>
      <c r="B53" s="2596" t="s">
        <v>1672</v>
      </c>
      <c r="C53" s="2596"/>
      <c r="D53" s="2596"/>
      <c r="E53" s="1397"/>
    </row>
    <row r="54" spans="1:6" s="1298" customFormat="1" ht="3.75" customHeight="1" x14ac:dyDescent="0.2">
      <c r="A54" s="1297"/>
      <c r="B54" s="1868"/>
      <c r="C54" s="1868"/>
      <c r="D54" s="1868"/>
      <c r="E54" s="1397"/>
    </row>
    <row r="55" spans="1:6" s="1298" customFormat="1" ht="20.25" customHeight="1" x14ac:dyDescent="0.2">
      <c r="A55" s="1299">
        <v>6</v>
      </c>
      <c r="B55" s="2592" t="s">
        <v>1632</v>
      </c>
      <c r="C55" s="2592"/>
      <c r="D55" s="2592"/>
    </row>
    <row r="56" spans="1:6" ht="14.25" customHeight="1" x14ac:dyDescent="0.2">
      <c r="A56" s="1299"/>
      <c r="B56" s="2592"/>
      <c r="C56" s="2592"/>
      <c r="D56" s="2592"/>
    </row>
  </sheetData>
  <mergeCells count="27">
    <mergeCell ref="B55:D55"/>
    <mergeCell ref="B56:D56"/>
    <mergeCell ref="D27:F27"/>
    <mergeCell ref="D28:F28"/>
    <mergeCell ref="D29:F29"/>
    <mergeCell ref="A32:F32"/>
    <mergeCell ref="E34:F34"/>
    <mergeCell ref="B53:D53"/>
    <mergeCell ref="B47:E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7"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3" sqref="B13"/>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530" t="str">
        <f>'Single Audit Cover'!A7</f>
        <v>Henry-Stark County SpEd District</v>
      </c>
      <c r="C1" s="2599"/>
      <c r="D1" s="2599"/>
      <c r="E1" s="2599"/>
      <c r="F1" s="2599"/>
      <c r="G1" s="2599"/>
      <c r="H1" s="2599"/>
      <c r="I1" s="2599"/>
      <c r="J1" s="2599"/>
      <c r="K1" s="2599"/>
      <c r="L1" s="2599"/>
      <c r="M1" s="2599"/>
    </row>
    <row r="2" spans="2:14" ht="15" x14ac:dyDescent="0.2">
      <c r="B2" s="2586">
        <f>'Single Audit Cover'!E7</f>
        <v>28037801060</v>
      </c>
      <c r="C2" s="2586"/>
      <c r="D2" s="2586"/>
      <c r="E2" s="2586"/>
      <c r="F2" s="2586"/>
      <c r="G2" s="2586"/>
      <c r="H2" s="2586"/>
      <c r="I2" s="2586"/>
      <c r="J2" s="2586"/>
      <c r="K2" s="2586"/>
      <c r="L2" s="2586"/>
      <c r="M2" s="2586"/>
      <c r="N2" s="1300"/>
    </row>
    <row r="3" spans="2:14" ht="15" x14ac:dyDescent="0.2">
      <c r="B3" s="2600" t="s">
        <v>1281</v>
      </c>
      <c r="C3" s="2600"/>
      <c r="D3" s="2600"/>
      <c r="E3" s="2600"/>
      <c r="F3" s="2600"/>
      <c r="G3" s="2600"/>
      <c r="H3" s="2600"/>
      <c r="I3" s="2600"/>
      <c r="J3" s="2600"/>
      <c r="K3" s="2600"/>
      <c r="L3" s="2600"/>
      <c r="M3" s="2600"/>
      <c r="N3" s="1300"/>
    </row>
    <row r="4" spans="2:14" ht="15" x14ac:dyDescent="0.2">
      <c r="B4" s="2601" t="str">
        <f>'Single Audit Cover'!A4</f>
        <v>Year Ending June 30, 2018</v>
      </c>
      <c r="C4" s="2601"/>
      <c r="D4" s="2601"/>
      <c r="E4" s="2601"/>
      <c r="F4" s="2601"/>
      <c r="G4" s="2601"/>
      <c r="H4" s="2601"/>
      <c r="I4" s="2601"/>
      <c r="J4" s="2601"/>
      <c r="K4" s="2601"/>
      <c r="L4" s="2601"/>
      <c r="M4" s="2601"/>
      <c r="N4" s="1300"/>
    </row>
    <row r="6" spans="2:14" x14ac:dyDescent="0.2">
      <c r="B6" s="1301"/>
      <c r="C6" s="1302"/>
      <c r="D6" s="1303" t="s">
        <v>1327</v>
      </c>
      <c r="E6" s="1304" t="s">
        <v>548</v>
      </c>
      <c r="F6" s="1305"/>
      <c r="G6" s="1306" t="s">
        <v>1834</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5"/>
      <c r="C8" s="1311" t="s">
        <v>1326</v>
      </c>
      <c r="D8" s="1312" t="s">
        <v>1325</v>
      </c>
      <c r="E8" s="1320" t="s">
        <v>1324</v>
      </c>
      <c r="F8" s="1321" t="s">
        <v>1324</v>
      </c>
      <c r="G8" s="1322" t="s">
        <v>1324</v>
      </c>
      <c r="H8" s="1315" t="s">
        <v>1663</v>
      </c>
      <c r="I8" s="1317" t="s">
        <v>1324</v>
      </c>
      <c r="J8" s="1316" t="s">
        <v>1947</v>
      </c>
      <c r="K8" s="1317" t="s">
        <v>1323</v>
      </c>
      <c r="L8" s="1318" t="s">
        <v>1319</v>
      </c>
      <c r="M8" s="1319" t="s">
        <v>30</v>
      </c>
    </row>
    <row r="9" spans="2:14" ht="14.25" x14ac:dyDescent="0.2">
      <c r="B9" s="1323" t="s">
        <v>1321</v>
      </c>
      <c r="C9" s="1311" t="s">
        <v>1835</v>
      </c>
      <c r="D9" s="1312" t="s">
        <v>1836</v>
      </c>
      <c r="E9" s="1320" t="s">
        <v>1663</v>
      </c>
      <c r="F9" s="1321" t="s">
        <v>1947</v>
      </c>
      <c r="G9" s="1322" t="s">
        <v>1663</v>
      </c>
      <c r="H9" s="1315" t="s">
        <v>1664</v>
      </c>
      <c r="I9" s="1317" t="s">
        <v>1947</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c r="C12" s="1339"/>
      <c r="D12" s="1340"/>
      <c r="E12" s="1341"/>
      <c r="F12" s="1341"/>
      <c r="G12" s="1341"/>
      <c r="H12" s="1341"/>
      <c r="I12" s="1341"/>
      <c r="J12" s="1341"/>
      <c r="K12" s="1341"/>
      <c r="L12" s="1338">
        <f t="shared" ref="L12:L27" si="0">+G12+I12+K12</f>
        <v>0</v>
      </c>
      <c r="M12" s="1341"/>
    </row>
    <row r="13" spans="2:14" ht="20.100000000000001" customHeight="1" x14ac:dyDescent="0.2">
      <c r="B13" s="1335" t="s">
        <v>2082</v>
      </c>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1837</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1948</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1838</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1839</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1840</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1841</v>
      </c>
      <c r="C45" s="1366"/>
      <c r="D45" s="1367"/>
      <c r="E45" s="1298"/>
      <c r="F45" s="1298"/>
      <c r="G45" s="1298"/>
      <c r="H45" s="1298"/>
      <c r="I45" s="1298"/>
      <c r="J45" s="1298"/>
      <c r="K45" s="1368"/>
      <c r="L45" s="1368"/>
      <c r="M45" s="1298"/>
    </row>
    <row r="46" spans="2:13" ht="11.25" customHeight="1" x14ac:dyDescent="0.2">
      <c r="B46" s="1298" t="s">
        <v>1668</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606" t="str">
        <f>'Single Audit Cover'!A7</f>
        <v>Henry-Stark County SpEd District</v>
      </c>
      <c r="C1" s="2607"/>
      <c r="D1" s="2607"/>
      <c r="E1" s="2607"/>
      <c r="F1" s="2607"/>
      <c r="G1" s="2607"/>
      <c r="H1" s="2607"/>
      <c r="I1" s="2607"/>
      <c r="J1" s="1420"/>
    </row>
    <row r="2" spans="2:10" s="317" customFormat="1" ht="12.75" customHeight="1" x14ac:dyDescent="0.2">
      <c r="B2" s="2608">
        <f>'Single Audit Cover'!E7</f>
        <v>28037801060</v>
      </c>
      <c r="C2" s="2609"/>
      <c r="D2" s="2609"/>
      <c r="E2" s="2609"/>
      <c r="F2" s="2609"/>
      <c r="G2" s="2609"/>
      <c r="H2" s="2609"/>
      <c r="I2" s="2609"/>
      <c r="J2" s="1420"/>
    </row>
    <row r="3" spans="2:10" s="317" customFormat="1" ht="12.75" customHeight="1" x14ac:dyDescent="0.2">
      <c r="B3" s="2610" t="s">
        <v>1347</v>
      </c>
      <c r="C3" s="2611"/>
      <c r="D3" s="2611"/>
      <c r="E3" s="2611"/>
      <c r="F3" s="2611"/>
      <c r="G3" s="2611"/>
      <c r="H3" s="2611"/>
      <c r="I3" s="2611"/>
      <c r="J3" s="1421"/>
    </row>
    <row r="4" spans="2:10" s="317" customFormat="1" ht="12.75" customHeight="1" x14ac:dyDescent="0.2">
      <c r="B4" s="2610" t="str">
        <f>'Single Audit Cover'!A4</f>
        <v>Year Ending June 30, 2018</v>
      </c>
      <c r="C4" s="2611"/>
      <c r="D4" s="2611"/>
      <c r="E4" s="2611"/>
      <c r="F4" s="2611"/>
      <c r="G4" s="2611"/>
      <c r="H4" s="2611"/>
      <c r="I4" s="2611"/>
    </row>
    <row r="5" spans="2:10" s="317" customFormat="1" ht="6.4" customHeight="1" x14ac:dyDescent="0.2">
      <c r="B5" s="1422" t="s">
        <v>1231</v>
      </c>
      <c r="C5" s="1292"/>
      <c r="D5" s="1292"/>
      <c r="E5" s="1381"/>
      <c r="F5" s="322"/>
      <c r="G5" s="322"/>
      <c r="H5" s="322"/>
      <c r="I5" s="322"/>
    </row>
    <row r="6" spans="2:10" s="317" customFormat="1" ht="6.4" customHeight="1" x14ac:dyDescent="0.2">
      <c r="B6" s="1423"/>
      <c r="C6" s="1377"/>
      <c r="D6" s="1377"/>
      <c r="E6" s="1378"/>
      <c r="F6" s="1377"/>
      <c r="G6" s="1377"/>
      <c r="H6" s="1377"/>
      <c r="I6" s="1377"/>
    </row>
    <row r="7" spans="2:10" s="317" customFormat="1" ht="13.5" customHeight="1" x14ac:dyDescent="0.2">
      <c r="B7" s="2610" t="s">
        <v>1346</v>
      </c>
      <c r="C7" s="2611"/>
      <c r="D7" s="2611"/>
      <c r="E7" s="2611"/>
      <c r="F7" s="2611"/>
      <c r="G7" s="2611"/>
      <c r="H7" s="2611"/>
      <c r="I7" s="2611"/>
    </row>
    <row r="8" spans="2:10" s="317" customFormat="1" ht="6.4" customHeight="1" x14ac:dyDescent="0.2">
      <c r="B8" s="1424" t="s">
        <v>1231</v>
      </c>
      <c r="C8" s="1425"/>
      <c r="D8" s="1425"/>
      <c r="E8" s="1426"/>
      <c r="F8" s="1425"/>
      <c r="G8" s="1425"/>
      <c r="H8" s="1425"/>
      <c r="I8" s="1425"/>
    </row>
    <row r="9" spans="2:10" s="317" customFormat="1" ht="9.1999999999999993"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612" t="s">
        <v>1226</v>
      </c>
      <c r="D11" s="2612"/>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t="s">
        <v>2094</v>
      </c>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t="s">
        <v>2094</v>
      </c>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t="s">
        <v>2094</v>
      </c>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t="s">
        <v>2094</v>
      </c>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t="s">
        <v>2094</v>
      </c>
      <c r="H27" s="1298" t="s">
        <v>1338</v>
      </c>
      <c r="I27" s="1298"/>
    </row>
    <row r="28" spans="2:9" s="317" customFormat="1" ht="12.75" customHeight="1" x14ac:dyDescent="0.2">
      <c r="B28" s="1366"/>
      <c r="C28" s="1280"/>
      <c r="E28" s="1256"/>
    </row>
    <row r="29" spans="2:9" s="317" customFormat="1" ht="12.75" customHeight="1" x14ac:dyDescent="0.2">
      <c r="B29" s="1366" t="s">
        <v>1337</v>
      </c>
      <c r="C29" s="1280"/>
      <c r="D29" s="2613" t="s">
        <v>2100</v>
      </c>
      <c r="E29" s="2613"/>
      <c r="F29" s="2613"/>
      <c r="G29" s="2613"/>
      <c r="H29" s="2613"/>
      <c r="I29" s="2613"/>
    </row>
    <row r="30" spans="2:9" s="317" customFormat="1" x14ac:dyDescent="0.2">
      <c r="B30" s="1366"/>
      <c r="C30" s="322"/>
      <c r="D30" s="1431" t="s">
        <v>1848</v>
      </c>
      <c r="E30" s="1432"/>
      <c r="F30" s="1432"/>
      <c r="G30" s="1432"/>
      <c r="H30" s="1432"/>
      <c r="I30" s="1432"/>
    </row>
    <row r="31" spans="2:9" s="317" customFormat="1" ht="10.15"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t="s">
        <v>2094</v>
      </c>
      <c r="H33" s="1298" t="s">
        <v>101</v>
      </c>
    </row>
    <row r="35" spans="2:9" x14ac:dyDescent="0.2">
      <c r="B35" s="1439" t="s">
        <v>1849</v>
      </c>
      <c r="C35" s="1440"/>
      <c r="D35" s="1265"/>
    </row>
    <row r="36" spans="2:9" ht="6" customHeight="1" x14ac:dyDescent="0.2">
      <c r="B36" s="1439"/>
      <c r="C36" s="1440"/>
      <c r="D36" s="1265"/>
    </row>
    <row r="37" spans="2:9" ht="17.25" customHeight="1" x14ac:dyDescent="0.2">
      <c r="B37" s="1441" t="s">
        <v>1850</v>
      </c>
      <c r="C37" s="2614" t="s">
        <v>1851</v>
      </c>
      <c r="D37" s="2615"/>
      <c r="E37" s="2615"/>
      <c r="F37" s="2616"/>
      <c r="G37" s="2614" t="s">
        <v>1674</v>
      </c>
      <c r="H37" s="2615"/>
      <c r="I37" s="2616"/>
    </row>
    <row r="38" spans="2:9" ht="16.5" customHeight="1" x14ac:dyDescent="0.2">
      <c r="B38" s="1442">
        <v>84.173000000000002</v>
      </c>
      <c r="C38" s="2602" t="s">
        <v>2101</v>
      </c>
      <c r="D38" s="2603"/>
      <c r="E38" s="2603"/>
      <c r="F38" s="2604"/>
      <c r="G38" s="2617">
        <v>67195</v>
      </c>
      <c r="H38" s="2618"/>
      <c r="I38" s="2619"/>
    </row>
    <row r="39" spans="2:9" ht="16.5" customHeight="1" x14ac:dyDescent="0.2">
      <c r="B39" s="1442">
        <v>84.027000000000001</v>
      </c>
      <c r="C39" s="2602" t="s">
        <v>2102</v>
      </c>
      <c r="D39" s="2603"/>
      <c r="E39" s="2603"/>
      <c r="F39" s="2604"/>
      <c r="G39" s="2605">
        <v>1448652</v>
      </c>
      <c r="H39" s="2605"/>
      <c r="I39" s="2605"/>
    </row>
    <row r="40" spans="2:9" ht="16.5" customHeight="1" x14ac:dyDescent="0.2">
      <c r="B40" s="1442"/>
      <c r="C40" s="2602"/>
      <c r="D40" s="2603"/>
      <c r="E40" s="2603"/>
      <c r="F40" s="2604"/>
      <c r="G40" s="2605"/>
      <c r="H40" s="2605"/>
      <c r="I40" s="2605"/>
    </row>
    <row r="41" spans="2:9" ht="16.5" customHeight="1" x14ac:dyDescent="0.2">
      <c r="B41" s="1442"/>
      <c r="C41" s="2602"/>
      <c r="D41" s="2603"/>
      <c r="E41" s="2603"/>
      <c r="F41" s="2604"/>
      <c r="G41" s="2605"/>
      <c r="H41" s="2605"/>
      <c r="I41" s="2605"/>
    </row>
    <row r="42" spans="2:9" ht="16.5" customHeight="1" x14ac:dyDescent="0.2">
      <c r="B42" s="1442"/>
      <c r="C42" s="2602"/>
      <c r="D42" s="2603"/>
      <c r="E42" s="2603"/>
      <c r="F42" s="2604"/>
      <c r="G42" s="2605"/>
      <c r="H42" s="2605"/>
      <c r="I42" s="2605"/>
    </row>
    <row r="43" spans="2:9" ht="16.5" customHeight="1" x14ac:dyDescent="0.2">
      <c r="B43" s="1442"/>
      <c r="C43" s="2620" t="s">
        <v>1675</v>
      </c>
      <c r="D43" s="2621"/>
      <c r="E43" s="2621"/>
      <c r="F43" s="2622"/>
      <c r="G43" s="2623">
        <f>SUM(G38:I42)</f>
        <v>1515847</v>
      </c>
      <c r="H43" s="2623"/>
      <c r="I43" s="2623"/>
    </row>
    <row r="44" spans="2:9" ht="12.75" customHeight="1" x14ac:dyDescent="0.2"/>
    <row r="45" spans="2:9" ht="12.75" customHeight="1" x14ac:dyDescent="0.2">
      <c r="B45" s="1433" t="s">
        <v>1949</v>
      </c>
      <c r="D45" s="2624">
        <v>1636750</v>
      </c>
      <c r="E45" s="2625"/>
    </row>
    <row r="46" spans="2:9" ht="5.45" customHeight="1" x14ac:dyDescent="0.2">
      <c r="B46" s="1443"/>
      <c r="D46" s="1444"/>
      <c r="E46" s="1445"/>
    </row>
    <row r="47" spans="2:9" ht="12.75" customHeight="1" x14ac:dyDescent="0.2">
      <c r="B47" s="1298" t="s">
        <v>1676</v>
      </c>
      <c r="C47" s="1298"/>
      <c r="D47" s="1446">
        <f>+G43/D45</f>
        <v>0.92613227432411793</v>
      </c>
      <c r="E47" s="1447"/>
      <c r="F47" s="1448"/>
      <c r="I47" s="1449"/>
    </row>
    <row r="48" spans="2:9" ht="10.15" customHeight="1" x14ac:dyDescent="0.2"/>
    <row r="49" spans="1:9" x14ac:dyDescent="0.2">
      <c r="B49" s="1366" t="s">
        <v>1335</v>
      </c>
      <c r="C49" s="1280"/>
      <c r="D49" s="1280"/>
      <c r="E49" s="2626">
        <v>750000</v>
      </c>
      <c r="F49" s="2626"/>
      <c r="G49" s="2626"/>
      <c r="H49" s="322"/>
    </row>
    <row r="51" spans="1:9" ht="13.5" customHeight="1" x14ac:dyDescent="0.2">
      <c r="B51" s="1366" t="s">
        <v>1334</v>
      </c>
      <c r="C51" s="1280"/>
      <c r="E51" s="1436"/>
      <c r="F51" s="1298" t="s">
        <v>940</v>
      </c>
      <c r="G51" s="1436" t="s">
        <v>2094</v>
      </c>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1852</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1853</v>
      </c>
      <c r="C58" s="1462"/>
      <c r="D58" s="1462"/>
    </row>
    <row r="59" spans="1:9" s="1459" customFormat="1" ht="3.95" customHeight="1" x14ac:dyDescent="0.2">
      <c r="A59" s="1456"/>
      <c r="B59" s="1461"/>
      <c r="C59" s="1462"/>
      <c r="D59" s="1462"/>
    </row>
    <row r="60" spans="1:9" s="1459" customFormat="1" ht="13.5" customHeight="1" x14ac:dyDescent="0.2">
      <c r="A60" s="1456"/>
      <c r="B60" s="1461" t="s">
        <v>1854</v>
      </c>
      <c r="C60" s="1462"/>
      <c r="D60" s="1462"/>
    </row>
    <row r="61" spans="1:9" s="1459" customFormat="1" ht="3.95" customHeight="1" x14ac:dyDescent="0.2">
      <c r="A61" s="1456"/>
      <c r="B61" s="1461"/>
      <c r="C61" s="1462"/>
      <c r="D61" s="1462"/>
    </row>
    <row r="62" spans="1:9" s="1459" customFormat="1" ht="12.75" customHeight="1" x14ac:dyDescent="0.2">
      <c r="A62" s="1456"/>
      <c r="B62" s="1461" t="s">
        <v>1855</v>
      </c>
      <c r="C62" s="1462"/>
      <c r="D62" s="1462"/>
    </row>
    <row r="63" spans="1:9" s="1459" customFormat="1" ht="13.5" customHeight="1" x14ac:dyDescent="0.2">
      <c r="A63" s="1456"/>
      <c r="B63" s="1460" t="s">
        <v>1679</v>
      </c>
      <c r="C63" s="1456"/>
      <c r="D63" s="1456"/>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606" t="str">
        <f>'Single Audit Cover'!A7</f>
        <v>Henry-Stark County SpEd District</v>
      </c>
      <c r="C1" s="2606"/>
      <c r="D1" s="2606"/>
      <c r="E1" s="2606"/>
      <c r="F1" s="2606"/>
      <c r="G1" s="2606"/>
      <c r="H1" s="2606"/>
      <c r="I1" s="2606"/>
      <c r="J1" s="2606"/>
      <c r="K1" s="2606"/>
      <c r="L1" s="1372"/>
      <c r="M1" s="1372"/>
    </row>
    <row r="2" spans="1:13" ht="12" customHeight="1" x14ac:dyDescent="0.2">
      <c r="B2" s="2608">
        <f>'Single Audit Cover'!E7</f>
        <v>28037801060</v>
      </c>
      <c r="C2" s="2608"/>
      <c r="D2" s="2608"/>
      <c r="E2" s="2608"/>
      <c r="F2" s="2608"/>
      <c r="G2" s="2608"/>
      <c r="H2" s="2608"/>
      <c r="I2" s="2608"/>
      <c r="J2" s="2608"/>
      <c r="K2" s="2608"/>
      <c r="L2" s="1373"/>
      <c r="M2" s="1374"/>
    </row>
    <row r="3" spans="1:13" ht="10.35" customHeight="1" x14ac:dyDescent="0.2">
      <c r="B3" s="2629" t="s">
        <v>1347</v>
      </c>
      <c r="C3" s="2629"/>
      <c r="D3" s="2629"/>
      <c r="E3" s="2629"/>
      <c r="F3" s="2629"/>
      <c r="G3" s="2629"/>
      <c r="H3" s="2629"/>
      <c r="I3" s="2629"/>
      <c r="J3" s="2629"/>
      <c r="K3" s="2629"/>
      <c r="L3" s="1375"/>
      <c r="M3" s="1375"/>
    </row>
    <row r="4" spans="1:13" ht="14.25" customHeight="1" x14ac:dyDescent="0.2">
      <c r="B4" s="2630" t="str">
        <f>'Single Audit Cover'!A4</f>
        <v>Year Ending June 30, 2018</v>
      </c>
      <c r="C4" s="2630"/>
      <c r="D4" s="2630"/>
      <c r="E4" s="2630"/>
      <c r="F4" s="2630"/>
      <c r="G4" s="2630"/>
      <c r="H4" s="2630"/>
      <c r="I4" s="2630"/>
      <c r="J4" s="2630"/>
      <c r="K4" s="2630"/>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630" t="s">
        <v>1363</v>
      </c>
      <c r="C7" s="2630"/>
      <c r="D7" s="2631"/>
      <c r="E7" s="2631"/>
      <c r="F7" s="2631"/>
      <c r="G7" s="2631"/>
      <c r="H7" s="2631"/>
      <c r="I7" s="2631"/>
      <c r="J7" s="2631"/>
      <c r="K7" s="2631"/>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1842</v>
      </c>
      <c r="C10" s="1383" t="s">
        <v>1950</v>
      </c>
      <c r="D10" s="1384" t="s">
        <v>2096</v>
      </c>
      <c r="E10" s="322"/>
      <c r="F10" s="1385" t="s">
        <v>1362</v>
      </c>
      <c r="G10" s="1386"/>
      <c r="H10" s="1387" t="s">
        <v>1361</v>
      </c>
      <c r="I10" s="1386"/>
      <c r="J10" s="1388" t="s">
        <v>1360</v>
      </c>
      <c r="K10" s="322"/>
      <c r="L10" s="1379"/>
    </row>
    <row r="11" spans="1:13" ht="13.5" customHeight="1" x14ac:dyDescent="0.2">
      <c r="B11" s="322"/>
      <c r="C11" s="322"/>
      <c r="D11" s="129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628"/>
      <c r="C14" s="2628"/>
      <c r="D14" s="2628"/>
      <c r="E14" s="2628"/>
      <c r="F14" s="2628"/>
      <c r="G14" s="2628"/>
      <c r="H14" s="2628"/>
      <c r="I14" s="2628"/>
      <c r="J14" s="2628"/>
      <c r="K14" s="2628"/>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628"/>
      <c r="C17" s="2628"/>
      <c r="D17" s="2628"/>
      <c r="E17" s="2628"/>
      <c r="F17" s="2628"/>
      <c r="G17" s="2628"/>
      <c r="H17" s="2628"/>
      <c r="I17" s="2628"/>
      <c r="J17" s="2628"/>
      <c r="K17" s="2628"/>
      <c r="L17" s="1379"/>
    </row>
    <row r="18" spans="2:12" ht="4.5" customHeight="1" x14ac:dyDescent="0.2">
      <c r="B18" s="1396"/>
      <c r="C18" s="1396"/>
      <c r="L18" s="1379"/>
    </row>
    <row r="19" spans="2:12" s="1280" customFormat="1" ht="13.5" customHeight="1" x14ac:dyDescent="0.2">
      <c r="B19" s="1391" t="s">
        <v>1843</v>
      </c>
      <c r="C19" s="1391"/>
      <c r="D19" s="1392"/>
      <c r="E19" s="1392"/>
      <c r="F19" s="1392"/>
      <c r="G19" s="1393"/>
      <c r="H19" s="1392"/>
      <c r="I19" s="1393"/>
      <c r="J19" s="1392"/>
      <c r="K19" s="1392"/>
      <c r="L19" s="1394"/>
    </row>
    <row r="20" spans="2:12" ht="45.75" customHeight="1" x14ac:dyDescent="0.2">
      <c r="B20" s="2632"/>
      <c r="C20" s="2632"/>
      <c r="D20" s="2628"/>
      <c r="E20" s="2628"/>
      <c r="F20" s="2628"/>
      <c r="G20" s="2628"/>
      <c r="H20" s="2628"/>
      <c r="I20" s="2628"/>
      <c r="J20" s="2628"/>
      <c r="K20" s="2628"/>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2" customHeight="1" x14ac:dyDescent="0.2">
      <c r="B23" s="2628"/>
      <c r="C23" s="2628"/>
      <c r="D23" s="2628"/>
      <c r="E23" s="2628"/>
      <c r="F23" s="2628"/>
      <c r="G23" s="2628"/>
      <c r="H23" s="2628"/>
      <c r="I23" s="2628"/>
      <c r="J23" s="2628"/>
      <c r="K23" s="2628"/>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628"/>
      <c r="C26" s="2628"/>
      <c r="D26" s="2628"/>
      <c r="E26" s="2628"/>
      <c r="F26" s="2628"/>
      <c r="G26" s="2628"/>
      <c r="H26" s="2628"/>
      <c r="I26" s="2628"/>
      <c r="J26" s="2628"/>
      <c r="K26" s="2628"/>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627"/>
      <c r="C29" s="2627"/>
      <c r="D29" s="2628"/>
      <c r="E29" s="2628"/>
      <c r="F29" s="2628"/>
      <c r="G29" s="2628"/>
      <c r="H29" s="2628"/>
      <c r="I29" s="2628"/>
      <c r="J29" s="2628"/>
      <c r="K29" s="2628"/>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1844</v>
      </c>
      <c r="C31" s="1401"/>
      <c r="D31" s="1376"/>
      <c r="E31" s="1377"/>
      <c r="F31" s="1377"/>
      <c r="G31" s="1378"/>
      <c r="H31" s="1377"/>
      <c r="I31" s="1378"/>
      <c r="J31" s="1377"/>
      <c r="K31" s="1377"/>
      <c r="L31" s="1379"/>
    </row>
    <row r="32" spans="2:12" s="322" customFormat="1" ht="44.25" customHeight="1" x14ac:dyDescent="0.2">
      <c r="B32" s="2627"/>
      <c r="C32" s="2627"/>
      <c r="D32" s="2628"/>
      <c r="E32" s="2628"/>
      <c r="F32" s="2628"/>
      <c r="G32" s="2628"/>
      <c r="H32" s="2628"/>
      <c r="I32" s="2628"/>
      <c r="J32" s="2628"/>
      <c r="K32" s="2628"/>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1845</v>
      </c>
      <c r="C35" s="1417"/>
      <c r="D35" s="322"/>
      <c r="E35" s="322"/>
      <c r="F35" s="322"/>
      <c r="L35" s="1379"/>
    </row>
    <row r="36" spans="1:13" ht="9.6" customHeight="1" x14ac:dyDescent="0.2">
      <c r="B36" s="1298" t="s">
        <v>1951</v>
      </c>
      <c r="C36" s="1298"/>
      <c r="L36" s="1379"/>
    </row>
    <row r="37" spans="1:13" ht="9.6" customHeight="1" x14ac:dyDescent="0.2">
      <c r="B37" s="1298" t="s">
        <v>1952</v>
      </c>
      <c r="C37" s="1298"/>
    </row>
    <row r="38" spans="1:13" ht="11.85" customHeight="1" x14ac:dyDescent="0.2">
      <c r="B38" s="1418" t="s">
        <v>1846</v>
      </c>
      <c r="C38" s="1418"/>
    </row>
    <row r="39" spans="1:13" ht="9.6" customHeight="1" x14ac:dyDescent="0.2">
      <c r="B39" s="1298" t="s">
        <v>1348</v>
      </c>
      <c r="C39" s="1298"/>
      <c r="M39" s="1419"/>
    </row>
    <row r="40" spans="1:13" ht="12.75" customHeight="1" x14ac:dyDescent="0.2">
      <c r="B40" s="1418" t="s">
        <v>1847</v>
      </c>
      <c r="C40" s="1418"/>
      <c r="M40" s="1419"/>
    </row>
    <row r="41" spans="1:13" ht="9.6" customHeight="1" x14ac:dyDescent="0.2">
      <c r="B41" s="1298"/>
      <c r="C41" s="1298"/>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633" t="str">
        <f>'Single Audit Cover'!A7</f>
        <v>Henry-Stark County SpEd District</v>
      </c>
      <c r="C1" s="2633"/>
      <c r="D1" s="2633"/>
      <c r="E1" s="2633"/>
      <c r="F1" s="2633"/>
      <c r="G1" s="2633"/>
      <c r="H1" s="2633"/>
      <c r="I1" s="2633"/>
      <c r="J1" s="2633"/>
      <c r="K1" s="2633"/>
      <c r="L1" s="1463"/>
    </row>
    <row r="2" spans="1:12" ht="12.75" customHeight="1" x14ac:dyDescent="0.2">
      <c r="B2" s="2634">
        <f>'Single Audit Cover'!E7</f>
        <v>28037801060</v>
      </c>
      <c r="C2" s="2634"/>
      <c r="D2" s="2634"/>
      <c r="E2" s="2634"/>
      <c r="F2" s="2634"/>
      <c r="G2" s="2634"/>
      <c r="H2" s="2634"/>
      <c r="I2" s="2634"/>
      <c r="J2" s="2634"/>
      <c r="K2" s="2634"/>
      <c r="L2" s="1464"/>
    </row>
    <row r="3" spans="1:12" ht="12.75" customHeight="1" x14ac:dyDescent="0.2">
      <c r="B3" s="2629" t="s">
        <v>1347</v>
      </c>
      <c r="C3" s="2629"/>
      <c r="D3" s="2629"/>
      <c r="E3" s="2629"/>
      <c r="F3" s="2629"/>
      <c r="G3" s="2629"/>
      <c r="H3" s="2629"/>
      <c r="I3" s="2629"/>
      <c r="J3" s="2629"/>
      <c r="K3" s="2629"/>
      <c r="L3" s="1375"/>
    </row>
    <row r="4" spans="1:12" ht="12.75" customHeight="1" x14ac:dyDescent="0.2">
      <c r="B4" s="2629" t="str">
        <f>'Single Audit Cover'!A4</f>
        <v>Year Ending June 30, 2018</v>
      </c>
      <c r="C4" s="2629"/>
      <c r="D4" s="2629"/>
      <c r="E4" s="2629"/>
      <c r="F4" s="2629"/>
      <c r="G4" s="2629"/>
      <c r="H4" s="2629"/>
      <c r="I4" s="2629"/>
      <c r="J4" s="2629"/>
      <c r="K4" s="2629"/>
      <c r="L4" s="1375"/>
    </row>
    <row r="5" spans="1:12" ht="5.45" customHeight="1" x14ac:dyDescent="0.2">
      <c r="B5" s="1258" t="s">
        <v>1231</v>
      </c>
      <c r="C5" s="1258"/>
      <c r="L5" s="322"/>
    </row>
    <row r="6" spans="1:12" ht="30.75" customHeight="1" x14ac:dyDescent="0.2">
      <c r="A6" s="322"/>
      <c r="B6" s="2635" t="s">
        <v>1375</v>
      </c>
      <c r="C6" s="2635"/>
      <c r="D6" s="2635"/>
      <c r="E6" s="2635"/>
      <c r="F6" s="2635"/>
      <c r="G6" s="2635"/>
      <c r="H6" s="2635"/>
      <c r="I6" s="2635"/>
      <c r="J6" s="2635"/>
      <c r="K6" s="2635"/>
      <c r="L6" s="322"/>
    </row>
    <row r="7" spans="1:12" ht="4.5" customHeight="1" x14ac:dyDescent="0.2">
      <c r="B7" s="1377"/>
      <c r="C7" s="1377"/>
      <c r="D7" s="1377"/>
      <c r="E7" s="1377"/>
      <c r="F7" s="1377"/>
      <c r="G7" s="1378"/>
      <c r="H7" s="1377"/>
      <c r="I7" s="1378"/>
      <c r="J7" s="1377"/>
      <c r="K7" s="1377"/>
      <c r="L7" s="322"/>
    </row>
    <row r="8" spans="1:12" ht="13.5" customHeight="1" x14ac:dyDescent="0.2">
      <c r="B8" s="1385" t="s">
        <v>1856</v>
      </c>
      <c r="C8" s="1465" t="s">
        <v>1950</v>
      </c>
      <c r="D8" s="1466" t="s">
        <v>2096</v>
      </c>
      <c r="E8" s="322"/>
      <c r="F8" s="1382" t="s">
        <v>1362</v>
      </c>
      <c r="G8" s="1467"/>
      <c r="H8" s="1468" t="s">
        <v>1374</v>
      </c>
      <c r="I8" s="1467"/>
      <c r="J8" s="1469" t="s">
        <v>1373</v>
      </c>
      <c r="L8" s="322"/>
    </row>
    <row r="9" spans="1:12" ht="13.5" customHeight="1" x14ac:dyDescent="0.2">
      <c r="D9" s="129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4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613"/>
      <c r="G12" s="2613"/>
      <c r="H12" s="2613"/>
      <c r="I12" s="2613"/>
      <c r="J12" s="2613"/>
      <c r="K12" s="2613"/>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636"/>
      <c r="E14" s="2636"/>
      <c r="F14" s="2636"/>
      <c r="H14" s="1473" t="s">
        <v>1370</v>
      </c>
      <c r="I14" s="2637"/>
      <c r="J14" s="2637"/>
      <c r="K14" s="2637"/>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1369</v>
      </c>
      <c r="C16" s="1385"/>
      <c r="D16" s="2637"/>
      <c r="E16" s="2637"/>
      <c r="F16" s="2637"/>
      <c r="G16" s="2637"/>
      <c r="H16" s="2637"/>
      <c r="I16" s="2637"/>
      <c r="J16" s="2637"/>
      <c r="K16" s="2637"/>
      <c r="L16" s="322"/>
    </row>
    <row r="17" spans="2:12" ht="13.5" customHeight="1" x14ac:dyDescent="0.2">
      <c r="B17" s="1385" t="s">
        <v>1368</v>
      </c>
      <c r="C17" s="1385"/>
      <c r="D17" s="2638"/>
      <c r="E17" s="2638"/>
      <c r="F17" s="2638"/>
      <c r="G17" s="2638"/>
      <c r="H17" s="2638"/>
      <c r="I17" s="2638"/>
      <c r="J17" s="2638"/>
      <c r="K17" s="2638"/>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628"/>
      <c r="C20" s="2628"/>
      <c r="D20" s="2628"/>
      <c r="E20" s="2628"/>
      <c r="F20" s="2628"/>
      <c r="G20" s="2628"/>
      <c r="H20" s="2628"/>
      <c r="I20" s="2628"/>
      <c r="J20" s="2628"/>
      <c r="K20" s="2628"/>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1857</v>
      </c>
      <c r="C22" s="1475"/>
      <c r="D22" s="322"/>
      <c r="E22" s="322"/>
      <c r="F22" s="322"/>
      <c r="G22" s="1381"/>
      <c r="H22" s="322"/>
      <c r="I22" s="1381"/>
      <c r="J22" s="322"/>
      <c r="K22" s="322"/>
      <c r="L22" s="322"/>
    </row>
    <row r="23" spans="2:12" ht="37.700000000000003" customHeight="1" x14ac:dyDescent="0.2">
      <c r="B23" s="2628"/>
      <c r="C23" s="2628"/>
      <c r="D23" s="2628"/>
      <c r="E23" s="2628"/>
      <c r="F23" s="2628"/>
      <c r="G23" s="2628"/>
      <c r="H23" s="2628"/>
      <c r="I23" s="2628"/>
      <c r="J23" s="2628"/>
      <c r="K23" s="2628"/>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1858</v>
      </c>
      <c r="C25" s="1475"/>
      <c r="D25" s="322"/>
      <c r="E25" s="322"/>
      <c r="F25" s="322"/>
      <c r="G25" s="1381"/>
      <c r="H25" s="322"/>
      <c r="I25" s="1381"/>
      <c r="J25" s="322"/>
      <c r="K25" s="322"/>
      <c r="L25" s="322"/>
    </row>
    <row r="26" spans="2:12" ht="37.700000000000003" customHeight="1" x14ac:dyDescent="0.2">
      <c r="B26" s="2628"/>
      <c r="C26" s="2628"/>
      <c r="D26" s="2628"/>
      <c r="E26" s="2628"/>
      <c r="F26" s="2628"/>
      <c r="G26" s="2628"/>
      <c r="H26" s="2628"/>
      <c r="I26" s="2628"/>
      <c r="J26" s="2628"/>
      <c r="K26" s="2628"/>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1859</v>
      </c>
      <c r="C28" s="1475"/>
      <c r="D28" s="322"/>
      <c r="E28" s="322"/>
      <c r="F28" s="322"/>
      <c r="G28" s="1381"/>
      <c r="H28" s="322"/>
      <c r="I28" s="1381"/>
      <c r="J28" s="322"/>
      <c r="K28" s="322"/>
      <c r="L28" s="322"/>
    </row>
    <row r="29" spans="2:12" ht="37.700000000000003" customHeight="1" x14ac:dyDescent="0.2">
      <c r="B29" s="2628"/>
      <c r="C29" s="2628"/>
      <c r="D29" s="2628"/>
      <c r="E29" s="2628"/>
      <c r="F29" s="2628"/>
      <c r="G29" s="2628"/>
      <c r="H29" s="2628"/>
      <c r="I29" s="2628"/>
      <c r="J29" s="2628"/>
      <c r="K29" s="2628"/>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700000000000003" customHeight="1" x14ac:dyDescent="0.2">
      <c r="B32" s="2628"/>
      <c r="C32" s="2628"/>
      <c r="D32" s="2628"/>
      <c r="E32" s="2628"/>
      <c r="F32" s="2628"/>
      <c r="G32" s="2628"/>
      <c r="H32" s="2628"/>
      <c r="I32" s="2628"/>
      <c r="J32" s="2628"/>
      <c r="K32" s="2628"/>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700000000000003" customHeight="1" x14ac:dyDescent="0.2">
      <c r="B35" s="2628"/>
      <c r="C35" s="2628"/>
      <c r="D35" s="2628"/>
      <c r="E35" s="2628"/>
      <c r="F35" s="2628"/>
      <c r="G35" s="2628"/>
      <c r="H35" s="2628"/>
      <c r="I35" s="2628"/>
      <c r="J35" s="2628"/>
      <c r="K35" s="2628"/>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628"/>
      <c r="C38" s="2628"/>
      <c r="D38" s="2628"/>
      <c r="E38" s="2628"/>
      <c r="F38" s="2628"/>
      <c r="G38" s="2628"/>
      <c r="H38" s="2628"/>
      <c r="I38" s="2628"/>
      <c r="J38" s="2628"/>
      <c r="K38" s="2628"/>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1860</v>
      </c>
      <c r="C40" s="1401"/>
      <c r="D40" s="1376"/>
      <c r="E40" s="1377"/>
      <c r="F40" s="1377"/>
      <c r="G40" s="1378"/>
      <c r="H40" s="1377"/>
      <c r="I40" s="1378"/>
      <c r="J40" s="1377"/>
      <c r="K40" s="1377"/>
    </row>
    <row r="41" spans="2:12" s="322" customFormat="1" ht="33.950000000000003" customHeight="1" x14ac:dyDescent="0.2">
      <c r="B41" s="2628"/>
      <c r="C41" s="2628"/>
      <c r="D41" s="2628"/>
      <c r="E41" s="2628"/>
      <c r="F41" s="2628"/>
      <c r="G41" s="2628"/>
      <c r="H41" s="2628"/>
      <c r="I41" s="2628"/>
      <c r="J41" s="2628"/>
      <c r="K41" s="2628"/>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1861</v>
      </c>
      <c r="C48" s="1417"/>
      <c r="D48" s="322"/>
      <c r="E48" s="322"/>
      <c r="F48" s="322"/>
    </row>
    <row r="49" spans="2:3" s="317" customFormat="1" ht="10.5" customHeight="1" x14ac:dyDescent="0.2">
      <c r="B49" s="1418" t="s">
        <v>1862</v>
      </c>
      <c r="C49" s="1418"/>
    </row>
    <row r="50" spans="2:3" s="317" customFormat="1" ht="11.1" customHeight="1" x14ac:dyDescent="0.2">
      <c r="B50" s="1418" t="s">
        <v>1863</v>
      </c>
      <c r="C50" s="1418"/>
    </row>
    <row r="51" spans="2:3" s="317" customFormat="1" ht="11.1" customHeight="1" x14ac:dyDescent="0.2">
      <c r="B51" s="1418" t="s">
        <v>1864</v>
      </c>
      <c r="C51" s="1418"/>
    </row>
    <row r="52" spans="2:3" s="317" customFormat="1" ht="11.1" customHeight="1" x14ac:dyDescent="0.2">
      <c r="B52" s="1418" t="s">
        <v>1865</v>
      </c>
      <c r="C52" s="141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606" t="str">
        <f>'Single Audit Cover'!A7</f>
        <v>Henry-Stark County SpEd District</v>
      </c>
      <c r="C1" s="2606"/>
      <c r="D1" s="2606"/>
      <c r="E1" s="1489"/>
    </row>
    <row r="2" spans="2:5" s="1280" customFormat="1" ht="12.75" customHeight="1" x14ac:dyDescent="0.2">
      <c r="B2" s="2608">
        <f>'Single Audit Cover'!E7</f>
        <v>28037801060</v>
      </c>
      <c r="C2" s="2608"/>
      <c r="D2" s="2608"/>
      <c r="E2" s="1490"/>
    </row>
    <row r="3" spans="2:5" ht="12.75" customHeight="1" x14ac:dyDescent="0.2">
      <c r="B3" s="2629" t="s">
        <v>1866</v>
      </c>
      <c r="C3" s="2629"/>
      <c r="D3" s="2629"/>
      <c r="E3" s="1272"/>
    </row>
    <row r="4" spans="2:5" s="1280" customFormat="1" ht="12.75" customHeight="1" x14ac:dyDescent="0.2">
      <c r="B4" s="2639" t="str">
        <f>'Single Audit Cover'!A4</f>
        <v>Year Ending June 30, 2018</v>
      </c>
      <c r="C4" s="2639"/>
      <c r="D4" s="2639"/>
      <c r="E4" s="1491"/>
    </row>
    <row r="5" spans="2:5" s="1280" customFormat="1" ht="40.35" hidden="1" customHeight="1" x14ac:dyDescent="0.2">
      <c r="B5" s="1492" t="s">
        <v>1867</v>
      </c>
      <c r="C5" s="328"/>
      <c r="D5" s="328"/>
      <c r="E5" s="328"/>
    </row>
    <row r="6" spans="2:5" s="1280" customFormat="1" ht="13.5" customHeight="1" x14ac:dyDescent="0.2">
      <c r="B6" s="1493" t="s">
        <v>1382</v>
      </c>
      <c r="C6" s="1493" t="s">
        <v>1381</v>
      </c>
      <c r="D6" s="1493" t="s">
        <v>1868</v>
      </c>
    </row>
    <row r="7" spans="2:5" ht="13.5" customHeight="1" x14ac:dyDescent="0.2">
      <c r="B7" s="1494" t="s">
        <v>2103</v>
      </c>
      <c r="C7" s="324"/>
      <c r="D7" s="324"/>
      <c r="E7" s="324"/>
    </row>
    <row r="8" spans="2:5" ht="13.5" customHeight="1" x14ac:dyDescent="0.2">
      <c r="B8" s="1494"/>
      <c r="C8" s="324"/>
      <c r="D8" s="324"/>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1380</v>
      </c>
      <c r="C44" s="322"/>
    </row>
    <row r="45" spans="2:5" ht="12.2" customHeight="1" x14ac:dyDescent="0.2">
      <c r="B45" s="1503" t="s">
        <v>1869</v>
      </c>
    </row>
    <row r="46" spans="2:5" ht="12.2" customHeight="1" x14ac:dyDescent="0.2">
      <c r="B46" s="1503" t="s">
        <v>1870</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6ce3111e-7420-4802-b50a-75d4e9a0b980"/>
    <ds:schemaRef ds:uri="http://purl.org/dc/elements/1.1/"/>
    <ds:schemaRef ds:uri="http://purl.org/dc/terms/"/>
    <ds:schemaRef ds:uri="http://purl.org/dc/dcmitype/"/>
    <ds:schemaRef ds:uri="http://schemas.microsoft.com/sharepoint/v3"/>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4d435f69-8686-490b-bd6d-b153bf22ab50"/>
    <ds:schemaRef ds:uri="d21dc803-237d-4c68-8692-8d731fd291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19</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18</vt:lpstr>
      <vt:lpstr>SEFA NOTES</vt:lpstr>
      <vt:lpstr> SEFA</vt:lpstr>
      <vt:lpstr>SF&amp;QC Sec-1</vt:lpstr>
      <vt:lpstr>SF&amp;QC Sec-2</vt:lpstr>
      <vt:lpstr>SF&amp;QC Sec-3</vt:lpstr>
      <vt:lpstr>SSPAF</vt:lpstr>
      <vt:lpstr>' SEFA'!Print_Area</vt:lpstr>
      <vt:lpstr>'SEFA 18'!Print_Area</vt:lpstr>
      <vt:lpstr>'SEFA NOTES'!Print_Area</vt:lpstr>
      <vt:lpstr>'SEFA Reconcile'!Print_Area</vt:lpstr>
      <vt:lpstr>'SF&amp;QC Sec-1'!Print_Area</vt:lpstr>
      <vt:lpstr>'SF&amp;QC Sec-3'!Print_Area</vt:lpstr>
      <vt:lpstr>'Single Audit Checklist'!Print_Area</vt:lpstr>
      <vt:lpstr>'Single Audit Cover'!Print_Area</vt:lpstr>
      <vt:lpstr>'SEFA 18'!Print_Area_MI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18'!Print_Titles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2018-10-08T14:50:47Z</cp:lastPrinted>
  <dcterms:created xsi:type="dcterms:W3CDTF">2003-10-29T19:06:34Z</dcterms:created>
  <dcterms:modified xsi:type="dcterms:W3CDTF">2018-11-13T16:55:25Z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